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tables/table2.xml" ContentType="application/vnd.openxmlformats-officedocument.spreadsheetml.table+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C:\Users\cpa\Downloads\SW applications - WS\"/>
    </mc:Choice>
  </mc:AlternateContent>
  <xr:revisionPtr revIDLastSave="0" documentId="13_ncr:1_{232FCF6F-F974-4B22-B503-08FB2D92CAA8}" xr6:coauthVersionLast="47" xr6:coauthVersionMax="47" xr10:uidLastSave="{00000000-0000-0000-0000-000000000000}"/>
  <workbookProtection workbookAlgorithmName="SHA-512" workbookHashValue="YigeutfO3GC9/wjoLoIb0AKAOfDzCSDrkwBK4MqxufzM7OTcI5HMZ0vG20YSPpFJhMUuavjGnN1JSXVe7+z2Xw==" workbookSaltValue="/sjV/TQL8K1ysw7n9Fw2VA==" workbookSpinCount="100000" lockStructure="1"/>
  <bookViews>
    <workbookView xWindow="-120" yWindow="-120" windowWidth="29040" windowHeight="15840" xr2:uid="{00000000-000D-0000-FFFF-FFFF00000000}"/>
  </bookViews>
  <sheets>
    <sheet name="Example" sheetId="17" r:id="rId1"/>
    <sheet name="Calculation" sheetId="24" r:id="rId2"/>
    <sheet name="Water Tanks Specifications " sheetId="25" r:id="rId3"/>
  </sheets>
  <definedNames>
    <definedName name="_xlnm.Print_Area" localSheetId="1">Calculation!$B$4:$R$76</definedName>
    <definedName name="_xlnm.Print_Area" localSheetId="0">Example!$B$4:$R$76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2" i="17" l="1"/>
  <c r="I103" i="24"/>
  <c r="J103" i="24" s="1"/>
  <c r="S98" i="24"/>
  <c r="R98" i="24"/>
  <c r="Q98" i="24"/>
  <c r="P98" i="24"/>
  <c r="M98" i="24"/>
  <c r="N98" i="24" s="1"/>
  <c r="L98" i="24" s="1"/>
  <c r="J98" i="24"/>
  <c r="H98" i="24"/>
  <c r="F98" i="24"/>
  <c r="L92" i="24"/>
  <c r="J92" i="24" s="1"/>
  <c r="K92" i="24"/>
  <c r="K91" i="24"/>
  <c r="L91" i="24" s="1"/>
  <c r="J91" i="24" s="1"/>
  <c r="K90" i="24"/>
  <c r="L90" i="24" s="1"/>
  <c r="J90" i="24"/>
  <c r="L89" i="24"/>
  <c r="K89" i="24"/>
  <c r="J89" i="24"/>
  <c r="L88" i="24"/>
  <c r="J88" i="24" s="1"/>
  <c r="K88" i="24"/>
  <c r="K87" i="24"/>
  <c r="L87" i="24" s="1"/>
  <c r="J87" i="24" s="1"/>
  <c r="K86" i="24"/>
  <c r="L86" i="24" s="1"/>
  <c r="J86" i="24"/>
  <c r="L85" i="24"/>
  <c r="K85" i="24"/>
  <c r="J85" i="24"/>
  <c r="L84" i="24"/>
  <c r="J84" i="24" s="1"/>
  <c r="K84" i="24"/>
  <c r="F62" i="24"/>
  <c r="F59" i="24"/>
  <c r="F43" i="24"/>
  <c r="F47" i="24" s="1"/>
  <c r="F49" i="24" s="1"/>
  <c r="F37" i="24"/>
  <c r="F38" i="24" s="1"/>
  <c r="J109" i="24" s="1"/>
  <c r="S34" i="24"/>
  <c r="S32" i="24"/>
  <c r="S30" i="24"/>
  <c r="S28" i="24"/>
  <c r="R10" i="24"/>
  <c r="Q10" i="24"/>
  <c r="P10" i="24"/>
  <c r="O10" i="24"/>
  <c r="N10" i="24"/>
  <c r="M10" i="24"/>
  <c r="L10" i="24"/>
  <c r="K86" i="17"/>
  <c r="L86" i="17" s="1"/>
  <c r="F98" i="17"/>
  <c r="M98" i="17"/>
  <c r="N98" i="17" s="1"/>
  <c r="L98" i="17" s="1"/>
  <c r="J98" i="17"/>
  <c r="I98" i="24" l="1"/>
  <c r="F71" i="24" s="1"/>
  <c r="S37" i="24"/>
  <c r="S36" i="24" s="1"/>
  <c r="M113" i="24"/>
  <c r="I113" i="24"/>
  <c r="M112" i="24"/>
  <c r="I112" i="24"/>
  <c r="M111" i="24"/>
  <c r="I111" i="24"/>
  <c r="M110" i="24"/>
  <c r="I110" i="24"/>
  <c r="M109" i="24"/>
  <c r="I109" i="24"/>
  <c r="M108" i="24"/>
  <c r="I108" i="24"/>
  <c r="K113" i="24"/>
  <c r="K112" i="24"/>
  <c r="K111" i="24"/>
  <c r="K110" i="24"/>
  <c r="K109" i="24"/>
  <c r="K108" i="24"/>
  <c r="F113" i="24"/>
  <c r="F112" i="24"/>
  <c r="L113" i="24"/>
  <c r="H113" i="24"/>
  <c r="L112" i="24"/>
  <c r="H112" i="24"/>
  <c r="L111" i="24"/>
  <c r="H111" i="24"/>
  <c r="L110" i="24"/>
  <c r="H110" i="24"/>
  <c r="L109" i="24"/>
  <c r="H109" i="24"/>
  <c r="L108" i="24"/>
  <c r="H108" i="24"/>
  <c r="G113" i="24"/>
  <c r="G112" i="24"/>
  <c r="G111" i="24"/>
  <c r="G110" i="24"/>
  <c r="G109" i="24"/>
  <c r="G108" i="24"/>
  <c r="J113" i="24"/>
  <c r="J112" i="24"/>
  <c r="J111" i="24"/>
  <c r="F108" i="24"/>
  <c r="F110" i="24"/>
  <c r="J108" i="24"/>
  <c r="J110" i="24"/>
  <c r="J123" i="24"/>
  <c r="K98" i="24"/>
  <c r="F70" i="24" s="1"/>
  <c r="G98" i="24"/>
  <c r="F109" i="24"/>
  <c r="F111" i="24"/>
  <c r="F36" i="24"/>
  <c r="K98" i="17"/>
  <c r="F70" i="17" s="1"/>
  <c r="G98" i="17"/>
  <c r="S38" i="24" l="1"/>
  <c r="F51" i="24" s="1"/>
  <c r="F118" i="24" s="1"/>
  <c r="F125" i="24"/>
  <c r="J126" i="24"/>
  <c r="H122" i="24"/>
  <c r="H126" i="24"/>
  <c r="K124" i="24"/>
  <c r="I122" i="24"/>
  <c r="I124" i="24"/>
  <c r="I126" i="24"/>
  <c r="J124" i="24"/>
  <c r="F122" i="24"/>
  <c r="G122" i="24"/>
  <c r="G126" i="24"/>
  <c r="H123" i="24"/>
  <c r="H125" i="24"/>
  <c r="H127" i="24"/>
  <c r="K122" i="24"/>
  <c r="K126" i="24"/>
  <c r="I123" i="24"/>
  <c r="I125" i="24"/>
  <c r="I127" i="24"/>
  <c r="F72" i="24"/>
  <c r="F69" i="24"/>
  <c r="J122" i="24"/>
  <c r="J125" i="24"/>
  <c r="G123" i="24"/>
  <c r="G127" i="24"/>
  <c r="L123" i="24"/>
  <c r="L125" i="24"/>
  <c r="L127" i="24"/>
  <c r="K123" i="24"/>
  <c r="K127" i="24"/>
  <c r="M123" i="24"/>
  <c r="M125" i="24"/>
  <c r="M127" i="24"/>
  <c r="G124" i="24"/>
  <c r="H124" i="24"/>
  <c r="F126" i="24"/>
  <c r="F123" i="24"/>
  <c r="F124" i="24"/>
  <c r="J127" i="24"/>
  <c r="G125" i="24"/>
  <c r="L122" i="24"/>
  <c r="L124" i="24"/>
  <c r="L126" i="24"/>
  <c r="F127" i="24"/>
  <c r="K125" i="24"/>
  <c r="M122" i="24"/>
  <c r="M124" i="24"/>
  <c r="M126" i="24"/>
  <c r="F69" i="17"/>
  <c r="M118" i="24" l="1"/>
  <c r="F115" i="24"/>
  <c r="H119" i="24"/>
  <c r="F119" i="24"/>
  <c r="H118" i="24"/>
  <c r="L116" i="24"/>
  <c r="M115" i="24"/>
  <c r="G118" i="24"/>
  <c r="G116" i="24"/>
  <c r="I119" i="24"/>
  <c r="F117" i="24"/>
  <c r="K115" i="24"/>
  <c r="I120" i="24"/>
  <c r="K118" i="24"/>
  <c r="I116" i="24"/>
  <c r="J119" i="24"/>
  <c r="L117" i="24"/>
  <c r="F120" i="24"/>
  <c r="G117" i="24"/>
  <c r="L120" i="24"/>
  <c r="G119" i="24"/>
  <c r="M119" i="24"/>
  <c r="J120" i="24"/>
  <c r="I115" i="24"/>
  <c r="K120" i="24"/>
  <c r="J115" i="24"/>
  <c r="M117" i="24"/>
  <c r="L119" i="24"/>
  <c r="L115" i="24"/>
  <c r="F116" i="24"/>
  <c r="H117" i="24"/>
  <c r="M120" i="24"/>
  <c r="M116" i="24"/>
  <c r="K116" i="24"/>
  <c r="L118" i="24"/>
  <c r="G120" i="24"/>
  <c r="J118" i="24"/>
  <c r="I118" i="24"/>
  <c r="K119" i="24"/>
  <c r="H120" i="24"/>
  <c r="H116" i="24"/>
  <c r="G115" i="24"/>
  <c r="J117" i="24"/>
  <c r="I117" i="24"/>
  <c r="K117" i="24"/>
  <c r="H115" i="24"/>
  <c r="K103" i="24"/>
  <c r="F63" i="24"/>
  <c r="J116" i="24"/>
  <c r="F53" i="24"/>
  <c r="F66" i="24"/>
  <c r="G103" i="24" l="1"/>
  <c r="F103" i="24" s="1"/>
  <c r="G61" i="24" s="1"/>
  <c r="L103" i="24"/>
  <c r="G67" i="24"/>
  <c r="F74" i="24"/>
  <c r="F73" i="24"/>
  <c r="K85" i="17" l="1"/>
  <c r="L85" i="17" s="1"/>
  <c r="J85" i="17" s="1"/>
  <c r="J86" i="17"/>
  <c r="K87" i="17"/>
  <c r="L87" i="17" s="1"/>
  <c r="J87" i="17" s="1"/>
  <c r="K88" i="17"/>
  <c r="L88" i="17" s="1"/>
  <c r="J88" i="17" s="1"/>
  <c r="K89" i="17"/>
  <c r="L89" i="17" s="1"/>
  <c r="J89" i="17" s="1"/>
  <c r="K90" i="17"/>
  <c r="L90" i="17" s="1"/>
  <c r="J90" i="17" s="1"/>
  <c r="K91" i="17"/>
  <c r="L91" i="17" s="1"/>
  <c r="J91" i="17" s="1"/>
  <c r="K92" i="17"/>
  <c r="L92" i="17" s="1"/>
  <c r="J92" i="17" s="1"/>
  <c r="K84" i="17"/>
  <c r="L84" i="17" s="1"/>
  <c r="J84" i="17" s="1"/>
  <c r="I103" i="17"/>
  <c r="J103" i="17" s="1"/>
  <c r="S98" i="17"/>
  <c r="R98" i="17"/>
  <c r="Q98" i="17"/>
  <c r="P98" i="17"/>
  <c r="H98" i="17"/>
  <c r="I98" i="17" s="1"/>
  <c r="F71" i="17" s="1"/>
  <c r="F72" i="17" s="1"/>
  <c r="F62" i="17"/>
  <c r="F59" i="17"/>
  <c r="F43" i="17"/>
  <c r="F47" i="17" s="1"/>
  <c r="F49" i="17" s="1"/>
  <c r="F37" i="17"/>
  <c r="F38" i="17" s="1"/>
  <c r="S34" i="17"/>
  <c r="S32" i="17"/>
  <c r="S30" i="17"/>
  <c r="S28" i="17"/>
  <c r="R10" i="17"/>
  <c r="Q10" i="17"/>
  <c r="P10" i="17"/>
  <c r="O10" i="17"/>
  <c r="N10" i="17"/>
  <c r="M10" i="17"/>
  <c r="L10" i="17"/>
  <c r="S37" i="17" l="1"/>
  <c r="S36" i="17" s="1"/>
  <c r="M113" i="17"/>
  <c r="I113" i="17"/>
  <c r="M112" i="17"/>
  <c r="I112" i="17"/>
  <c r="M111" i="17"/>
  <c r="I111" i="17"/>
  <c r="M110" i="17"/>
  <c r="I110" i="17"/>
  <c r="M109" i="17"/>
  <c r="I109" i="17"/>
  <c r="M108" i="17"/>
  <c r="I108" i="17"/>
  <c r="L113" i="17"/>
  <c r="H113" i="17"/>
  <c r="L112" i="17"/>
  <c r="H112" i="17"/>
  <c r="L111" i="17"/>
  <c r="H111" i="17"/>
  <c r="L110" i="17"/>
  <c r="H110" i="17"/>
  <c r="L109" i="17"/>
  <c r="H109" i="17"/>
  <c r="L108" i="17"/>
  <c r="H108" i="17"/>
  <c r="K113" i="17"/>
  <c r="G113" i="17"/>
  <c r="K112" i="17"/>
  <c r="G112" i="17"/>
  <c r="K111" i="17"/>
  <c r="G111" i="17"/>
  <c r="K110" i="17"/>
  <c r="G110" i="17"/>
  <c r="K109" i="17"/>
  <c r="G109" i="17"/>
  <c r="K108" i="17"/>
  <c r="G108" i="17"/>
  <c r="J113" i="17"/>
  <c r="F113" i="17"/>
  <c r="J112" i="17"/>
  <c r="F112" i="17"/>
  <c r="J111" i="17"/>
  <c r="F111" i="17"/>
  <c r="J110" i="17"/>
  <c r="F110" i="17"/>
  <c r="F124" i="17" s="1"/>
  <c r="J109" i="17"/>
  <c r="F109" i="17"/>
  <c r="J108" i="17"/>
  <c r="F108" i="17"/>
  <c r="F36" i="17"/>
  <c r="S38" i="17" l="1"/>
  <c r="F51" i="17" s="1"/>
  <c r="K103" i="17" s="1"/>
  <c r="L103" i="17" s="1"/>
  <c r="F123" i="17"/>
  <c r="G123" i="17"/>
  <c r="G127" i="17"/>
  <c r="H127" i="17"/>
  <c r="I123" i="17"/>
  <c r="I125" i="17"/>
  <c r="I127" i="17"/>
  <c r="J123" i="17"/>
  <c r="J125" i="17"/>
  <c r="J127" i="17"/>
  <c r="K123" i="17"/>
  <c r="K125" i="17"/>
  <c r="K127" i="17"/>
  <c r="L123" i="17"/>
  <c r="L125" i="17"/>
  <c r="L127" i="17"/>
  <c r="M123" i="17"/>
  <c r="M125" i="17"/>
  <c r="M127" i="17"/>
  <c r="F125" i="17"/>
  <c r="H123" i="17"/>
  <c r="F122" i="17"/>
  <c r="F126" i="17"/>
  <c r="G122" i="17"/>
  <c r="G124" i="17"/>
  <c r="G126" i="17"/>
  <c r="H122" i="17"/>
  <c r="H124" i="17"/>
  <c r="H126" i="17"/>
  <c r="I122" i="17"/>
  <c r="I124" i="17"/>
  <c r="I126" i="17"/>
  <c r="F127" i="17"/>
  <c r="G125" i="17"/>
  <c r="H125" i="17"/>
  <c r="J122" i="17"/>
  <c r="J124" i="17"/>
  <c r="J126" i="17"/>
  <c r="K122" i="17"/>
  <c r="K124" i="17"/>
  <c r="K126" i="17"/>
  <c r="L122" i="17"/>
  <c r="L124" i="17"/>
  <c r="L126" i="17"/>
  <c r="M122" i="17"/>
  <c r="M124" i="17"/>
  <c r="M126" i="17"/>
  <c r="J115" i="17" l="1"/>
  <c r="L119" i="17"/>
  <c r="F66" i="17"/>
  <c r="G67" i="17" s="1"/>
  <c r="G119" i="17"/>
  <c r="M117" i="17"/>
  <c r="J119" i="17"/>
  <c r="F120" i="17"/>
  <c r="H117" i="17"/>
  <c r="J120" i="17"/>
  <c r="K117" i="17"/>
  <c r="H118" i="17"/>
  <c r="I115" i="17"/>
  <c r="M118" i="17"/>
  <c r="L120" i="17"/>
  <c r="K118" i="17"/>
  <c r="L115" i="17"/>
  <c r="I119" i="17"/>
  <c r="F118" i="17"/>
  <c r="F115" i="17"/>
  <c r="L116" i="17"/>
  <c r="I118" i="17"/>
  <c r="G115" i="17"/>
  <c r="J116" i="17"/>
  <c r="M119" i="17"/>
  <c r="M115" i="17"/>
  <c r="L117" i="17"/>
  <c r="K119" i="17"/>
  <c r="K115" i="17"/>
  <c r="J117" i="17"/>
  <c r="F117" i="17"/>
  <c r="G118" i="17"/>
  <c r="G103" i="17"/>
  <c r="F103" i="17" s="1"/>
  <c r="G61" i="17" s="1"/>
  <c r="I117" i="17"/>
  <c r="H119" i="17"/>
  <c r="H115" i="17"/>
  <c r="G117" i="17"/>
  <c r="F119" i="17"/>
  <c r="H116" i="17"/>
  <c r="M120" i="17"/>
  <c r="M116" i="17"/>
  <c r="L118" i="17"/>
  <c r="K120" i="17"/>
  <c r="K116" i="17"/>
  <c r="J118" i="17"/>
  <c r="F63" i="17"/>
  <c r="G116" i="17"/>
  <c r="H120" i="17"/>
  <c r="I120" i="17"/>
  <c r="I116" i="17"/>
  <c r="G120" i="17"/>
  <c r="F116" i="17"/>
  <c r="F53" i="17" l="1"/>
  <c r="F73" i="17"/>
  <c r="F74"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tc={99C83BB4-5493-4A79-9B59-D19E1ADFBCEB}</author>
  </authors>
  <commentList>
    <comment ref="F31" authorId="0" shapeId="0" xr:uid="{99C83BB4-5493-4A79-9B59-D19E1ADFBCEB}">
      <text>
        <t>[Threaded comment]
Your version of Excel allows you to read this threaded comment; however, any edits to it will get removed if the file is opened in a newer version of Excel. Learn more: https://go.microsoft.com/fwlink/?linkid=870924
Comment:
    Non permeable area</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tc={9C21DF1F-FA9A-4BE7-AE89-714BD4B71E81}</author>
    <author>tc={F3157E67-6E99-4418-8C82-224DC213271C}</author>
  </authors>
  <commentList>
    <comment ref="F31" authorId="0" shapeId="0" xr:uid="{9C21DF1F-FA9A-4BE7-AE89-714BD4B71E81}">
      <text>
        <t>[Threaded comment]
Your version of Excel allows you to read this threaded comment; however, any edits to it will get removed if the file is opened in a newer version of Excel. Learn more: https://go.microsoft.com/fwlink/?linkid=870924
Comment:
    Non permeable area</t>
      </text>
    </comment>
    <comment ref="K53" authorId="1" shapeId="0" xr:uid="{F3157E67-6E99-4418-8C82-224DC213271C}">
      <text>
        <t>[Threaded comment]
Your version of Excel allows you to read this threaded comment; however, any edits to it will get removed if the file is opened in a newer version of Excel. Learn more: https://go.microsoft.com/fwlink/?linkid=870924
Comment:
    use actual sizes supplied by mancf.</t>
      </text>
    </comment>
  </commentList>
</comments>
</file>

<file path=xl/sharedStrings.xml><?xml version="1.0" encoding="utf-8"?>
<sst xmlns="http://schemas.openxmlformats.org/spreadsheetml/2006/main" count="481" uniqueCount="241">
  <si>
    <t>Equation</t>
  </si>
  <si>
    <t>Symbol</t>
  </si>
  <si>
    <t>I (mm/h)</t>
  </si>
  <si>
    <t>C</t>
  </si>
  <si>
    <t>Input from GIS map</t>
  </si>
  <si>
    <t>Measure in GIS map</t>
  </si>
  <si>
    <t>Calculate from GIS Contours</t>
  </si>
  <si>
    <t>Q (m3/s)</t>
  </si>
  <si>
    <t>Checked from Rainfall Chart</t>
  </si>
  <si>
    <t>Determine from Catchment Type</t>
  </si>
  <si>
    <t>Column1</t>
  </si>
  <si>
    <t>Column2</t>
  </si>
  <si>
    <t>Column3</t>
  </si>
  <si>
    <t>S (%)</t>
  </si>
  <si>
    <t>L (m)</t>
  </si>
  <si>
    <t>A (m2)</t>
  </si>
  <si>
    <t>Hus (m)</t>
  </si>
  <si>
    <t>%</t>
  </si>
  <si>
    <t>Runoff Coeffient (pervious)</t>
  </si>
  <si>
    <t>Gross C</t>
  </si>
  <si>
    <t>Column4</t>
  </si>
  <si>
    <t>Road &amp; Hard Stand</t>
  </si>
  <si>
    <t>Roof</t>
  </si>
  <si>
    <t>Imp Area in percent</t>
  </si>
  <si>
    <t>Runoff Coeffient (Roof)</t>
  </si>
  <si>
    <t>Runoff Coeffient (Road &amp; Hard Stand)</t>
  </si>
  <si>
    <t>Ap (m2)</t>
  </si>
  <si>
    <t>Ar (m2)</t>
  </si>
  <si>
    <t>Ah (m2)</t>
  </si>
  <si>
    <t>Cr</t>
  </si>
  <si>
    <t>Ch</t>
  </si>
  <si>
    <t>Cp</t>
  </si>
  <si>
    <t>(Ar*Cr+Ah*Ch+Ap*Ch)/A</t>
  </si>
  <si>
    <t>Q=2.78CIA/1000 [A in ha]</t>
  </si>
  <si>
    <t>A-Ar-Ah</t>
  </si>
  <si>
    <t>100*(Ar+Ah)/A</t>
  </si>
  <si>
    <t>100*(Hus-Hds)/L</t>
  </si>
  <si>
    <t>Developed flow</t>
  </si>
  <si>
    <t>Manning’s ‘n’</t>
  </si>
  <si>
    <t>roughness coeffiecient</t>
  </si>
  <si>
    <t>min</t>
  </si>
  <si>
    <t>Time of Travel</t>
  </si>
  <si>
    <t>Q (m3/s) [Q=2.78CIA/1000 [A in ha]</t>
  </si>
  <si>
    <r>
      <t>100*nL</t>
    </r>
    <r>
      <rPr>
        <vertAlign val="superscript"/>
        <sz val="11"/>
        <color theme="1"/>
        <rFont val="Calibri"/>
        <family val="2"/>
        <scheme val="minor"/>
      </rPr>
      <t>0.33</t>
    </r>
    <r>
      <rPr>
        <sz val="11"/>
        <color theme="1"/>
        <rFont val="Calibri"/>
        <family val="2"/>
        <scheme val="minor"/>
      </rPr>
      <t>/s</t>
    </r>
    <r>
      <rPr>
        <vertAlign val="superscript"/>
        <sz val="11"/>
        <color theme="1"/>
        <rFont val="Calibri"/>
        <family val="2"/>
        <scheme val="minor"/>
      </rPr>
      <t>0.2</t>
    </r>
    <r>
      <rPr>
        <sz val="11"/>
        <color theme="1"/>
        <rFont val="Calibri"/>
        <family val="2"/>
        <scheme val="minor"/>
      </rPr>
      <t xml:space="preserve"> or use the chart</t>
    </r>
  </si>
  <si>
    <t>Rainfall Intensity HIRDS V4 RCP8.5 for the period 2081-2100</t>
  </si>
  <si>
    <t>Items</t>
  </si>
  <si>
    <t>Tank Size</t>
  </si>
  <si>
    <t>Dia</t>
  </si>
  <si>
    <t>Base Area</t>
  </si>
  <si>
    <t>Orifice Size</t>
  </si>
  <si>
    <t>m</t>
  </si>
  <si>
    <t>mm</t>
  </si>
  <si>
    <t>m2</t>
  </si>
  <si>
    <t>ms-2</t>
  </si>
  <si>
    <t>l/s</t>
  </si>
  <si>
    <t>g</t>
  </si>
  <si>
    <t>radius</t>
  </si>
  <si>
    <t>Volume of the tank</t>
  </si>
  <si>
    <t>m3</t>
  </si>
  <si>
    <t>Cc</t>
  </si>
  <si>
    <t>Cv</t>
  </si>
  <si>
    <t>Co</t>
  </si>
  <si>
    <t>Short tube</t>
  </si>
  <si>
    <t>Developed Flow Rate</t>
  </si>
  <si>
    <r>
      <t xml:space="preserve"> m</t>
    </r>
    <r>
      <rPr>
        <b/>
        <i/>
        <vertAlign val="superscript"/>
        <sz val="11"/>
        <color theme="1"/>
        <rFont val="Calibri"/>
        <family val="2"/>
        <scheme val="minor"/>
      </rPr>
      <t>3</t>
    </r>
  </si>
  <si>
    <t>rounded</t>
  </si>
  <si>
    <t>sharp-edged</t>
  </si>
  <si>
    <t>Borda</t>
  </si>
  <si>
    <t>Orifce shape</t>
  </si>
  <si>
    <t>Flow area</t>
  </si>
  <si>
    <r>
      <t>height of water col</t>
    </r>
    <r>
      <rPr>
        <b/>
        <i/>
        <vertAlign val="superscript"/>
        <sz val="11"/>
        <color theme="1"/>
        <rFont val="Calibri"/>
        <family val="2"/>
        <scheme val="minor"/>
      </rPr>
      <t>m</t>
    </r>
  </si>
  <si>
    <t>desired flow</t>
  </si>
  <si>
    <r>
      <t>m</t>
    </r>
    <r>
      <rPr>
        <b/>
        <i/>
        <vertAlign val="superscript"/>
        <sz val="11"/>
        <color theme="1"/>
        <rFont val="Calibri"/>
        <family val="2"/>
        <scheme val="minor"/>
      </rPr>
      <t>3</t>
    </r>
    <r>
      <rPr>
        <b/>
        <i/>
        <sz val="11"/>
        <color theme="1"/>
        <rFont val="Calibri"/>
        <family val="2"/>
        <scheme val="minor"/>
      </rPr>
      <t>/s</t>
    </r>
  </si>
  <si>
    <t>Other Area</t>
  </si>
  <si>
    <t>C for other areas</t>
  </si>
  <si>
    <t>Permiable or Green Area</t>
  </si>
  <si>
    <t>Total Area</t>
  </si>
  <si>
    <t>Ao (m2)</t>
  </si>
  <si>
    <t>Green field or existing flow</t>
  </si>
  <si>
    <t>Proposed or Developing Condition</t>
  </si>
  <si>
    <t>Ground Slope</t>
  </si>
  <si>
    <t>Ground Slope s</t>
  </si>
  <si>
    <t>Length</t>
  </si>
  <si>
    <t>height</t>
  </si>
  <si>
    <t>Catchment Characteristics</t>
  </si>
  <si>
    <t>Ground Roughness</t>
  </si>
  <si>
    <r>
      <t>m</t>
    </r>
    <r>
      <rPr>
        <vertAlign val="superscript"/>
        <sz val="11"/>
        <color theme="1"/>
        <rFont val="Calibri"/>
        <family val="2"/>
        <scheme val="minor"/>
      </rPr>
      <t>2</t>
    </r>
  </si>
  <si>
    <t>mm/hr</t>
  </si>
  <si>
    <t>Rainfall Intensity HIRDS V4 (50yr ARI)</t>
  </si>
  <si>
    <t>Vd</t>
  </si>
  <si>
    <t>developed flow - green field flow</t>
  </si>
  <si>
    <r>
      <t>m</t>
    </r>
    <r>
      <rPr>
        <b/>
        <i/>
        <vertAlign val="superscript"/>
        <sz val="11"/>
        <color theme="1"/>
        <rFont val="Calibri"/>
        <family val="2"/>
        <scheme val="minor"/>
      </rPr>
      <t>3</t>
    </r>
  </si>
  <si>
    <t>Tank design</t>
  </si>
  <si>
    <t>Number of  Tanks</t>
  </si>
  <si>
    <t>Height (m)</t>
  </si>
  <si>
    <t>Orifice Coefficient</t>
  </si>
  <si>
    <t>Orifce Design Diameter (mm)</t>
  </si>
  <si>
    <t>Capacity Check</t>
  </si>
  <si>
    <t>Flow Check</t>
  </si>
  <si>
    <r>
      <t xml:space="preserve"> m</t>
    </r>
    <r>
      <rPr>
        <vertAlign val="superscript"/>
        <sz val="11"/>
        <color theme="1"/>
        <rFont val="Calibri"/>
        <family val="2"/>
        <scheme val="minor"/>
      </rPr>
      <t>3</t>
    </r>
  </si>
  <si>
    <t>H</t>
  </si>
  <si>
    <t xml:space="preserve"> Co</t>
  </si>
  <si>
    <t>B</t>
  </si>
  <si>
    <t>Qo</t>
  </si>
  <si>
    <t>Typical Tank Capacity &amp; Height</t>
  </si>
  <si>
    <r>
      <t>Capacity (m</t>
    </r>
    <r>
      <rPr>
        <b/>
        <vertAlign val="superscript"/>
        <sz val="11"/>
        <color theme="1"/>
        <rFont val="Calibri"/>
        <family val="2"/>
        <scheme val="minor"/>
      </rPr>
      <t>3</t>
    </r>
    <r>
      <rPr>
        <b/>
        <sz val="11"/>
        <color theme="1"/>
        <rFont val="Calibri"/>
        <family val="2"/>
        <scheme val="minor"/>
      </rPr>
      <t>)</t>
    </r>
  </si>
  <si>
    <t>Orifice Design</t>
  </si>
  <si>
    <t>Design</t>
  </si>
  <si>
    <t>Suggested</t>
  </si>
  <si>
    <t>Storage Volume = developed flow - green field flow (calculated)</t>
  </si>
  <si>
    <t>Storage check</t>
  </si>
  <si>
    <r>
      <t>m</t>
    </r>
    <r>
      <rPr>
        <vertAlign val="superscript"/>
        <sz val="11"/>
        <color theme="1"/>
        <rFont val="Calibri"/>
        <family val="2"/>
        <scheme val="minor"/>
      </rPr>
      <t>3</t>
    </r>
    <r>
      <rPr>
        <sz val="11"/>
        <color theme="1"/>
        <rFont val="Calibri"/>
        <family val="2"/>
        <scheme val="minor"/>
      </rPr>
      <t>/s</t>
    </r>
  </si>
  <si>
    <t>Input field</t>
  </si>
  <si>
    <t>Date:</t>
  </si>
  <si>
    <t>Output field</t>
  </si>
  <si>
    <t>Address:</t>
  </si>
  <si>
    <t xml:space="preserve">Table.1 Rainfall intensities (mm/hr) :: RCP8.5 for the period 2081-2100 </t>
  </si>
  <si>
    <t>Link to get Intensities</t>
  </si>
  <si>
    <t>https://hirds.niwa.co.nz/</t>
  </si>
  <si>
    <t>ARI</t>
  </si>
  <si>
    <t>AEP</t>
  </si>
  <si>
    <t>10m</t>
  </si>
  <si>
    <t>20m</t>
  </si>
  <si>
    <t>30m</t>
  </si>
  <si>
    <t>1h</t>
  </si>
  <si>
    <t>2h</t>
  </si>
  <si>
    <t>6h</t>
  </si>
  <si>
    <t>12h</t>
  </si>
  <si>
    <t>24h</t>
  </si>
  <si>
    <t>48h</t>
  </si>
  <si>
    <t>72h</t>
  </si>
  <si>
    <t>96h</t>
  </si>
  <si>
    <t>120h</t>
  </si>
  <si>
    <t>Green Field Flow Rate Required</t>
  </si>
  <si>
    <t>Tank Storage Capacity</t>
  </si>
  <si>
    <t>Orifice to overflow height (center to center)</t>
  </si>
  <si>
    <t>Height Check</t>
  </si>
  <si>
    <t>developed flow - design flow</t>
  </si>
  <si>
    <t>Storage Volume Required at greenfield flow</t>
  </si>
  <si>
    <t>Tank storage required (depends on orifice size)</t>
  </si>
  <si>
    <t>Overflow pipe diameter</t>
  </si>
  <si>
    <t>Td</t>
  </si>
  <si>
    <t>Opd</t>
  </si>
  <si>
    <t>Orifice flow</t>
  </si>
  <si>
    <r>
      <t xml:space="preserve"> m</t>
    </r>
    <r>
      <rPr>
        <vertAlign val="superscript"/>
        <sz val="11"/>
        <color theme="1"/>
        <rFont val="Calibri"/>
        <family val="2"/>
        <scheme val="minor"/>
      </rPr>
      <t>3</t>
    </r>
    <r>
      <rPr>
        <sz val="11"/>
        <color theme="1"/>
        <rFont val="Calibri"/>
        <family val="2"/>
        <scheme val="minor"/>
      </rPr>
      <t>/sec</t>
    </r>
  </si>
  <si>
    <t>*This calculation is only to be used after the permit from Hurunui District Council as a design aid for soakpit and should not be used or relied upon by any other person or entity or for any other purposes. 
No responsibility is accepted by Hurunui District Council or its staff or employees for the accuracy of information provided by third parties and/ or the use of any part of this calculation in any other context or for any other purposes.
Any kind of modification of the sheet is not allowed without permission from HDC.</t>
  </si>
  <si>
    <t>% of Peak flow attenuation</t>
  </si>
  <si>
    <t>Storage Volume = developed flow - orifice flow (design)</t>
  </si>
  <si>
    <t>Tank diameter</t>
  </si>
  <si>
    <t>Storage in tank (from orifice to overflow)</t>
  </si>
  <si>
    <t xml:space="preserve"> m</t>
  </si>
  <si>
    <t>Depth/Height of the tank (base to overflow)</t>
  </si>
  <si>
    <t>For depth</t>
  </si>
  <si>
    <t>Diameter (m)</t>
  </si>
  <si>
    <t xml:space="preserve">Base Area </t>
  </si>
  <si>
    <t>D</t>
  </si>
  <si>
    <t>Storage in tank (from base to orifice) for use</t>
  </si>
  <si>
    <t>Total Storage</t>
  </si>
  <si>
    <t xml:space="preserve">This excel file is not capable of doing calculation for multiple tank setup. Please take advise in those cases.  </t>
  </si>
  <si>
    <t>2D, 61 OSCBORNE STREET</t>
  </si>
  <si>
    <t>http://www.tanks.co.nz/water-tanks/water-tanks-2/</t>
  </si>
  <si>
    <t>BT30000</t>
  </si>
  <si>
    <t>BT25000</t>
  </si>
  <si>
    <t>BT13500</t>
  </si>
  <si>
    <t>BT10000</t>
  </si>
  <si>
    <t>BT9000</t>
  </si>
  <si>
    <t>BT5000</t>
  </si>
  <si>
    <t>BT3000</t>
  </si>
  <si>
    <t>BT2100</t>
  </si>
  <si>
    <t>BT1800</t>
  </si>
  <si>
    <t>BT1000</t>
  </si>
  <si>
    <t>BT900</t>
  </si>
  <si>
    <t>BT425</t>
  </si>
  <si>
    <t>Capacity (Litres)</t>
  </si>
  <si>
    <t>30,000L</t>
  </si>
  <si>
    <t>25,000L</t>
  </si>
  <si>
    <t>13,500L</t>
  </si>
  <si>
    <t>10,000L</t>
  </si>
  <si>
    <t>9,000L</t>
  </si>
  <si>
    <t>5,000L</t>
  </si>
  <si>
    <t>3,000L</t>
  </si>
  <si>
    <t>2,100L</t>
  </si>
  <si>
    <t>1,800L</t>
  </si>
  <si>
    <t>1,000L</t>
  </si>
  <si>
    <t>900L</t>
  </si>
  <si>
    <t>425L</t>
  </si>
  <si>
    <t>Diameter</t>
  </si>
  <si>
    <t>3.8m</t>
  </si>
  <si>
    <t>3.5m</t>
  </si>
  <si>
    <t>2.8m</t>
  </si>
  <si>
    <t>2.2m</t>
  </si>
  <si>
    <t>1.8m</t>
  </si>
  <si>
    <t>1.33m</t>
  </si>
  <si>
    <t>0.8m</t>
  </si>
  <si>
    <t>1.0m</t>
  </si>
  <si>
    <t>0.7m</t>
  </si>
  <si>
    <t>Height (Overall)</t>
  </si>
  <si>
    <t>3.1m</t>
  </si>
  <si>
    <t>3.0m</t>
  </si>
  <si>
    <t>2.5m</t>
  </si>
  <si>
    <t>2.9m</t>
  </si>
  <si>
    <t>1.75m</t>
  </si>
  <si>
    <t>2.25m</t>
  </si>
  <si>
    <t>1.5m</t>
  </si>
  <si>
    <t>1.78m</t>
  </si>
  <si>
    <t>1.4m</t>
  </si>
  <si>
    <t>2.1m</t>
  </si>
  <si>
    <t>1.2m</t>
  </si>
  <si>
    <t>https://www.promaxplastics.co.nz/products/water-tanks</t>
  </si>
  <si>
    <t>Promax Water Tanks</t>
  </si>
  <si>
    <t xml:space="preserve">Bailey Water Tanks </t>
  </si>
  <si>
    <t>EN1001000</t>
  </si>
  <si>
    <t>Height (mm)</t>
  </si>
  <si>
    <t>Diameter (mm)</t>
  </si>
  <si>
    <t>EN1000450</t>
  </si>
  <si>
    <t>EN1002000</t>
  </si>
  <si>
    <t>XP1002500</t>
  </si>
  <si>
    <t>EN1003000</t>
  </si>
  <si>
    <t>EN1004000</t>
  </si>
  <si>
    <t>XP1003500</t>
  </si>
  <si>
    <t>ENLP05000</t>
  </si>
  <si>
    <t>XP1005000</t>
  </si>
  <si>
    <t>EN1005000</t>
  </si>
  <si>
    <t>EN1010000</t>
  </si>
  <si>
    <t>XP1010000</t>
  </si>
  <si>
    <t>XP1015000</t>
  </si>
  <si>
    <t>Devan Water Tanks</t>
  </si>
  <si>
    <t>https://www.devan.co.nz/product-category/tanks/water-tanks-above/</t>
  </si>
  <si>
    <t>TT30</t>
  </si>
  <si>
    <t>TT25</t>
  </si>
  <si>
    <t>TT15</t>
  </si>
  <si>
    <t>TT03</t>
  </si>
  <si>
    <t>TT02</t>
  </si>
  <si>
    <t>TT01</t>
  </si>
  <si>
    <t>TT10</t>
  </si>
  <si>
    <t>TT05</t>
  </si>
  <si>
    <t>TT04</t>
  </si>
  <si>
    <t>TT007</t>
  </si>
  <si>
    <t>TT006</t>
  </si>
  <si>
    <r>
      <t xml:space="preserve">*This calculation is only to be used after the permit from Hurunui District Council as a design aid for soakpit and should not be used or relied upon by any other person or entity or for any other purposes. 
No responsibility is accepted by Hurunui District Council or its staff or employees for the accuracy of information provided by third parties and/ or the use of any part of this calculation in any other context or for any other purposes.
Any kind of modification of the sheet is not allowed without permission from HDC.
</t>
    </r>
    <r>
      <rPr>
        <b/>
        <sz val="10"/>
        <color theme="1"/>
        <rFont val="Calibri"/>
        <family val="2"/>
        <scheme val="minor"/>
      </rPr>
      <t xml:space="preserve">Note: Typiocal tank dimensions are specify in the sheet "Water Tanks Specifications".  </t>
    </r>
  </si>
  <si>
    <t>Use actual size supplied by the tank manufacturer. If you don’t know the dimensions, the table below can be used as a reference.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</si>
</sst>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0"/>
    <numFmt numFmtId="165" formatCode="0.0"/>
    <numFmt numFmtId="166" formatCode="0.0000"/>
    <numFmt numFmtId="167" formatCode="0.00000000000"/>
  </numFmts>
  <fonts count="28" x14ac:knownFonts="1">
    <font>
      <sz val="11"/>
      <color theme="1"/>
      <name val="Calibri"/>
      <family val="2"/>
      <scheme val="minor"/>
    </font>
    <font>
      <sz val="11"/>
      <name val="Calibri"/>
      <family val="2"/>
      <scheme val="minor"/>
    </font>
    <font>
      <b/>
      <i/>
      <sz val="11"/>
      <color theme="1"/>
      <name val="Calibri"/>
      <family val="2"/>
      <scheme val="minor"/>
    </font>
    <font>
      <b/>
      <i/>
      <sz val="11"/>
      <name val="Calibri"/>
      <family val="2"/>
      <scheme val="minor"/>
    </font>
    <font>
      <b/>
      <i/>
      <sz val="11"/>
      <color rgb="FFFF0000"/>
      <name val="Calibri"/>
      <family val="2"/>
      <scheme val="minor"/>
    </font>
    <font>
      <b/>
      <sz val="12"/>
      <color theme="1"/>
      <name val="Calibri"/>
      <family val="2"/>
      <scheme val="minor"/>
    </font>
    <font>
      <vertAlign val="superscript"/>
      <sz val="11"/>
      <color theme="1"/>
      <name val="Calibri"/>
      <family val="2"/>
      <scheme val="minor"/>
    </font>
    <font>
      <b/>
      <i/>
      <vertAlign val="superscript"/>
      <sz val="11"/>
      <color theme="1"/>
      <name val="Calibri"/>
      <family val="2"/>
      <scheme val="minor"/>
    </font>
    <font>
      <sz val="11"/>
      <color rgb="FF3F3F76"/>
      <name val="Calibri"/>
      <family val="2"/>
      <scheme val="minor"/>
    </font>
    <font>
      <sz val="12"/>
      <color theme="1"/>
      <name val="Calibri"/>
      <family val="2"/>
      <scheme val="minor"/>
    </font>
    <font>
      <b/>
      <u/>
      <sz val="11"/>
      <color theme="1"/>
      <name val="Calibri"/>
      <family val="2"/>
      <scheme val="minor"/>
    </font>
    <font>
      <b/>
      <sz val="11"/>
      <color theme="1"/>
      <name val="Calibri"/>
      <family val="2"/>
      <scheme val="minor"/>
    </font>
    <font>
      <b/>
      <vertAlign val="superscript"/>
      <sz val="11"/>
      <color theme="1"/>
      <name val="Calibri"/>
      <family val="2"/>
      <scheme val="minor"/>
    </font>
    <font>
      <b/>
      <sz val="11"/>
      <color rgb="FFFA7D00"/>
      <name val="Calibri"/>
      <family val="2"/>
      <scheme val="minor"/>
    </font>
    <font>
      <sz val="12"/>
      <color rgb="FF3F3F76"/>
      <name val="Calibri"/>
      <family val="2"/>
      <scheme val="minor"/>
    </font>
    <font>
      <b/>
      <sz val="12"/>
      <color rgb="FFFA7D00"/>
      <name val="Calibri"/>
      <family val="2"/>
      <scheme val="minor"/>
    </font>
    <font>
      <u/>
      <sz val="11"/>
      <color theme="10"/>
      <name val="Calibri"/>
      <family val="2"/>
      <scheme val="minor"/>
    </font>
    <font>
      <b/>
      <i/>
      <sz val="11"/>
      <color rgb="FF00B050"/>
      <name val="Calibri"/>
      <family val="2"/>
      <scheme val="minor"/>
    </font>
    <font>
      <b/>
      <i/>
      <sz val="11"/>
      <color rgb="FF008000"/>
      <name val="Calibri"/>
      <family val="2"/>
      <scheme val="minor"/>
    </font>
    <font>
      <b/>
      <sz val="11"/>
      <color rgb="FF008000"/>
      <name val="Calibri"/>
      <family val="2"/>
      <scheme val="minor"/>
    </font>
    <font>
      <sz val="10"/>
      <color theme="1"/>
      <name val="Calibri"/>
      <family val="2"/>
      <scheme val="minor"/>
    </font>
    <font>
      <b/>
      <sz val="11"/>
      <color rgb="FFFF0000"/>
      <name val="Calibri"/>
      <family val="2"/>
      <scheme val="minor"/>
    </font>
    <font>
      <b/>
      <i/>
      <sz val="11"/>
      <color rgb="FF008A3E"/>
      <name val="Calibri"/>
      <family val="2"/>
      <scheme val="minor"/>
    </font>
    <font>
      <b/>
      <sz val="8"/>
      <color rgb="FFFFFFFF"/>
      <name val="HelveticaNeueW01-55Roma"/>
    </font>
    <font>
      <sz val="8"/>
      <color rgb="FF333333"/>
      <name val="HelveticaNeueW01-55Roma"/>
    </font>
    <font>
      <b/>
      <sz val="10"/>
      <color theme="1"/>
      <name val="Calibri"/>
      <family val="2"/>
      <scheme val="minor"/>
    </font>
    <font>
      <b/>
      <u/>
      <sz val="12"/>
      <color theme="1"/>
      <name val="Calibri"/>
      <family val="2"/>
      <scheme val="minor"/>
    </font>
    <font>
      <i/>
      <sz val="10"/>
      <color theme="1"/>
      <name val="Calibri"/>
      <family val="2"/>
      <scheme val="minor"/>
    </font>
  </fonts>
  <fills count="13">
    <fill>
      <patternFill patternType="none"/>
    </fill>
    <fill>
      <patternFill patternType="gray125"/>
    </fill>
    <fill>
      <patternFill patternType="solid">
        <fgColor rgb="FFFFFF00"/>
        <bgColor indexed="64"/>
      </patternFill>
    </fill>
    <fill>
      <patternFill patternType="solid">
        <fgColor rgb="FFFFCC99"/>
      </patternFill>
    </fill>
    <fill>
      <patternFill patternType="solid">
        <fgColor theme="9" tint="0.39997558519241921"/>
        <bgColor indexed="64"/>
      </patternFill>
    </fill>
    <fill>
      <patternFill patternType="solid">
        <fgColor theme="0" tint="-0.14999847407452621"/>
        <bgColor indexed="64"/>
      </patternFill>
    </fill>
    <fill>
      <patternFill patternType="solid">
        <fgColor rgb="FFF2F2F2"/>
      </patternFill>
    </fill>
    <fill>
      <patternFill patternType="solid">
        <fgColor theme="0" tint="-0.249977111117893"/>
        <bgColor indexed="64"/>
      </patternFill>
    </fill>
    <fill>
      <patternFill patternType="solid">
        <fgColor theme="6" tint="0.59999389629810485"/>
        <bgColor indexed="64"/>
      </patternFill>
    </fill>
    <fill>
      <patternFill patternType="solid">
        <fgColor rgb="FFFFFFFF"/>
        <bgColor indexed="64"/>
      </patternFill>
    </fill>
    <fill>
      <patternFill patternType="solid">
        <fgColor rgb="FF777777"/>
        <bgColor indexed="64"/>
      </patternFill>
    </fill>
    <fill>
      <patternFill patternType="solid">
        <fgColor rgb="FFF5F5F5"/>
        <bgColor indexed="64"/>
      </patternFill>
    </fill>
    <fill>
      <patternFill patternType="solid">
        <fgColor rgb="FFDDDDDD"/>
        <bgColor indexed="64"/>
      </patternFill>
    </fill>
  </fills>
  <borders count="16">
    <border>
      <left/>
      <right/>
      <top/>
      <bottom/>
      <diagonal/>
    </border>
    <border>
      <left/>
      <right/>
      <top/>
      <bottom style="thin">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7F7F7F"/>
      </left>
      <right/>
      <top style="thin">
        <color rgb="FF7F7F7F"/>
      </top>
      <bottom style="thin">
        <color rgb="FF7F7F7F"/>
      </bottom>
      <diagonal/>
    </border>
    <border>
      <left/>
      <right/>
      <top style="thin">
        <color rgb="FF7F7F7F"/>
      </top>
      <bottom style="thin">
        <color rgb="FF7F7F7F"/>
      </bottom>
      <diagonal/>
    </border>
    <border>
      <left/>
      <right style="thin">
        <color rgb="FF7F7F7F"/>
      </right>
      <top style="thin">
        <color rgb="FF7F7F7F"/>
      </top>
      <bottom style="thin">
        <color rgb="FF7F7F7F"/>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0" fontId="8" fillId="3" borderId="5" applyNumberFormat="0" applyAlignment="0" applyProtection="0"/>
    <xf numFmtId="0" fontId="13" fillId="6" borderId="5" applyNumberFormat="0" applyAlignment="0" applyProtection="0"/>
    <xf numFmtId="0" fontId="16" fillId="0" borderId="0" applyNumberFormat="0" applyFill="0" applyBorder="0" applyAlignment="0" applyProtection="0"/>
  </cellStyleXfs>
  <cellXfs count="138">
    <xf numFmtId="0" fontId="0" fillId="0" borderId="0" xfId="0"/>
    <xf numFmtId="0" fontId="0" fillId="0" borderId="0" xfId="0" applyAlignment="1">
      <alignment horizontal="right"/>
    </xf>
    <xf numFmtId="0" fontId="0" fillId="0" borderId="0" xfId="0" applyBorder="1"/>
    <xf numFmtId="0" fontId="0" fillId="0" borderId="2" xfId="0" applyBorder="1"/>
    <xf numFmtId="0" fontId="2" fillId="0" borderId="0" xfId="0" applyFont="1" applyBorder="1"/>
    <xf numFmtId="0" fontId="2" fillId="0" borderId="3" xfId="0" applyFont="1" applyBorder="1"/>
    <xf numFmtId="1" fontId="0" fillId="0" borderId="0" xfId="0" applyNumberFormat="1" applyAlignment="1">
      <alignment horizontal="right"/>
    </xf>
    <xf numFmtId="0" fontId="0" fillId="0" borderId="3" xfId="0" applyFill="1" applyBorder="1"/>
    <xf numFmtId="166" fontId="3" fillId="0" borderId="0" xfId="0" applyNumberFormat="1" applyFont="1" applyBorder="1" applyAlignment="1">
      <alignment horizontal="right"/>
    </xf>
    <xf numFmtId="165" fontId="3" fillId="0" borderId="0" xfId="0" applyNumberFormat="1" applyFont="1" applyBorder="1" applyAlignment="1">
      <alignment horizontal="right"/>
    </xf>
    <xf numFmtId="2" fontId="2" fillId="0" borderId="0" xfId="0" applyNumberFormat="1" applyFont="1" applyFill="1" applyBorder="1" applyAlignment="1">
      <alignment horizontal="right" vertical="center"/>
    </xf>
    <xf numFmtId="164" fontId="4" fillId="0" borderId="0" xfId="0" applyNumberFormat="1" applyFont="1" applyFill="1" applyBorder="1" applyAlignment="1">
      <alignment vertical="center"/>
    </xf>
    <xf numFmtId="2" fontId="4" fillId="0" borderId="0" xfId="0" applyNumberFormat="1" applyFont="1" applyFill="1" applyBorder="1" applyAlignment="1">
      <alignment vertical="center"/>
    </xf>
    <xf numFmtId="0" fontId="0" fillId="0" borderId="0" xfId="0" applyFill="1" applyAlignment="1">
      <alignment vertical="center"/>
    </xf>
    <xf numFmtId="2" fontId="0" fillId="0" borderId="0" xfId="0" applyNumberFormat="1" applyFill="1" applyBorder="1" applyAlignment="1">
      <alignment horizontal="right" vertical="center"/>
    </xf>
    <xf numFmtId="2" fontId="1" fillId="0" borderId="0" xfId="0" applyNumberFormat="1" applyFont="1" applyFill="1" applyBorder="1" applyAlignment="1">
      <alignment horizontal="right" vertical="center"/>
    </xf>
    <xf numFmtId="2" fontId="3" fillId="0" borderId="0" xfId="0" applyNumberFormat="1" applyFont="1" applyFill="1" applyBorder="1" applyAlignment="1">
      <alignment horizontal="right" vertical="center"/>
    </xf>
    <xf numFmtId="164" fontId="4" fillId="0" borderId="0" xfId="0" applyNumberFormat="1" applyFont="1" applyFill="1" applyBorder="1" applyAlignment="1">
      <alignment horizontal="right" vertical="center"/>
    </xf>
    <xf numFmtId="2" fontId="4" fillId="0" borderId="0" xfId="0" applyNumberFormat="1" applyFont="1" applyFill="1" applyBorder="1" applyAlignment="1">
      <alignment horizontal="right" vertical="center"/>
    </xf>
    <xf numFmtId="0" fontId="0" fillId="0" borderId="0" xfId="0" applyFill="1" applyBorder="1" applyAlignment="1">
      <alignment vertical="center"/>
    </xf>
    <xf numFmtId="0" fontId="0" fillId="0" borderId="0" xfId="0" applyFill="1" applyBorder="1" applyAlignment="1">
      <alignment horizontal="center" vertical="center"/>
    </xf>
    <xf numFmtId="1" fontId="2" fillId="0" borderId="0" xfId="0" applyNumberFormat="1" applyFont="1" applyFill="1" applyBorder="1" applyAlignment="1">
      <alignment horizontal="right" vertical="center"/>
    </xf>
    <xf numFmtId="2" fontId="0" fillId="0" borderId="0" xfId="0" applyNumberFormat="1"/>
    <xf numFmtId="0" fontId="0" fillId="0" borderId="0" xfId="0" applyFill="1" applyBorder="1"/>
    <xf numFmtId="0" fontId="10" fillId="0" borderId="0" xfId="0" applyFont="1"/>
    <xf numFmtId="0" fontId="10" fillId="0" borderId="0" xfId="0" applyFont="1" applyBorder="1"/>
    <xf numFmtId="0" fontId="5" fillId="0" borderId="0" xfId="0" applyFont="1" applyBorder="1" applyAlignment="1">
      <alignment horizontal="center"/>
    </xf>
    <xf numFmtId="0" fontId="5" fillId="0" borderId="0" xfId="0" applyFont="1" applyFill="1" applyBorder="1" applyAlignment="1">
      <alignment horizontal="center" vertical="center"/>
    </xf>
    <xf numFmtId="0" fontId="5" fillId="0" borderId="3" xfId="0" applyFont="1" applyBorder="1" applyAlignment="1">
      <alignment horizontal="center"/>
    </xf>
    <xf numFmtId="0" fontId="11" fillId="0" borderId="4" xfId="0" applyFont="1" applyBorder="1" applyAlignment="1">
      <alignment horizontal="right"/>
    </xf>
    <xf numFmtId="0" fontId="11" fillId="0" borderId="4" xfId="0" applyFont="1" applyBorder="1"/>
    <xf numFmtId="2" fontId="0" fillId="0" borderId="4" xfId="0" applyNumberFormat="1" applyBorder="1" applyAlignment="1">
      <alignment horizontal="right"/>
    </xf>
    <xf numFmtId="2" fontId="0" fillId="0" borderId="4" xfId="0" applyNumberFormat="1" applyBorder="1"/>
    <xf numFmtId="164" fontId="4" fillId="0" borderId="0" xfId="0" applyNumberFormat="1" applyFont="1" applyFill="1" applyBorder="1" applyAlignment="1">
      <alignment horizontal="right"/>
    </xf>
    <xf numFmtId="2" fontId="2" fillId="0" borderId="0" xfId="0" applyNumberFormat="1" applyFont="1" applyFill="1" applyBorder="1" applyAlignment="1">
      <alignment horizontal="center" vertical="center"/>
    </xf>
    <xf numFmtId="0" fontId="2" fillId="0" borderId="0" xfId="0" applyFont="1" applyFill="1" applyBorder="1" applyAlignment="1">
      <alignment horizontal="center"/>
    </xf>
    <xf numFmtId="2" fontId="4" fillId="0" borderId="0" xfId="0" applyNumberFormat="1" applyFont="1" applyFill="1" applyBorder="1" applyAlignment="1">
      <alignment horizontal="center" vertical="center"/>
    </xf>
    <xf numFmtId="0" fontId="2" fillId="0" borderId="0" xfId="0" applyFont="1" applyFill="1" applyBorder="1"/>
    <xf numFmtId="2" fontId="2" fillId="0" borderId="0" xfId="0" applyNumberFormat="1" applyFont="1" applyFill="1" applyBorder="1" applyAlignment="1">
      <alignment horizontal="center"/>
    </xf>
    <xf numFmtId="0" fontId="2" fillId="0" borderId="0" xfId="0" applyFont="1" applyFill="1" applyBorder="1" applyAlignment="1">
      <alignment horizontal="center" vertical="center"/>
    </xf>
    <xf numFmtId="165" fontId="2" fillId="0" borderId="0" xfId="0" applyNumberFormat="1" applyFont="1" applyFill="1" applyBorder="1" applyAlignment="1">
      <alignment horizontal="center" vertical="center"/>
    </xf>
    <xf numFmtId="1" fontId="2" fillId="0" borderId="0" xfId="0" applyNumberFormat="1" applyFont="1" applyFill="1" applyBorder="1" applyAlignment="1">
      <alignment horizontal="center" vertical="center"/>
    </xf>
    <xf numFmtId="166" fontId="2" fillId="0" borderId="0" xfId="0" applyNumberFormat="1" applyFont="1" applyFill="1" applyBorder="1" applyAlignment="1">
      <alignment horizontal="center" vertical="center"/>
    </xf>
    <xf numFmtId="2" fontId="4" fillId="0" borderId="0" xfId="0" applyNumberFormat="1" applyFont="1" applyFill="1" applyBorder="1" applyAlignment="1"/>
    <xf numFmtId="0" fontId="0" fillId="0" borderId="0" xfId="0" applyFill="1" applyAlignment="1">
      <alignment horizontal="right"/>
    </xf>
    <xf numFmtId="0" fontId="0" fillId="0" borderId="0" xfId="0" applyFill="1" applyBorder="1" applyAlignment="1">
      <alignment horizontal="right"/>
    </xf>
    <xf numFmtId="2" fontId="0" fillId="0" borderId="0" xfId="0" applyNumberFormat="1" applyFill="1" applyBorder="1" applyAlignment="1">
      <alignment horizontal="right"/>
    </xf>
    <xf numFmtId="2" fontId="1" fillId="0" borderId="0" xfId="0" applyNumberFormat="1" applyFont="1" applyFill="1" applyBorder="1" applyAlignment="1">
      <alignment horizontal="right"/>
    </xf>
    <xf numFmtId="2" fontId="2" fillId="0" borderId="0" xfId="0" applyNumberFormat="1" applyFont="1" applyFill="1" applyBorder="1" applyAlignment="1">
      <alignment horizontal="right"/>
    </xf>
    <xf numFmtId="2" fontId="3" fillId="0" borderId="0" xfId="0" applyNumberFormat="1" applyFont="1" applyFill="1" applyBorder="1" applyAlignment="1">
      <alignment horizontal="right"/>
    </xf>
    <xf numFmtId="164" fontId="4" fillId="0" borderId="0" xfId="0" applyNumberFormat="1" applyFont="1" applyFill="1" applyBorder="1" applyAlignment="1"/>
    <xf numFmtId="0" fontId="2" fillId="0" borderId="0" xfId="0" applyFont="1" applyFill="1" applyBorder="1" applyAlignment="1">
      <alignment horizontal="right"/>
    </xf>
    <xf numFmtId="2" fontId="0" fillId="5" borderId="0" xfId="0" applyNumberFormat="1" applyFill="1" applyBorder="1" applyAlignment="1">
      <alignment horizontal="right"/>
    </xf>
    <xf numFmtId="2" fontId="2" fillId="5" borderId="0" xfId="0" applyNumberFormat="1" applyFont="1" applyFill="1" applyBorder="1" applyAlignment="1">
      <alignment horizontal="right"/>
    </xf>
    <xf numFmtId="2" fontId="2" fillId="5" borderId="0" xfId="0" applyNumberFormat="1" applyFont="1" applyFill="1" applyBorder="1" applyAlignment="1">
      <alignment horizontal="right" vertical="center"/>
    </xf>
    <xf numFmtId="2" fontId="3" fillId="5" borderId="0" xfId="0" applyNumberFormat="1" applyFont="1" applyFill="1" applyBorder="1" applyAlignment="1">
      <alignment horizontal="right"/>
    </xf>
    <xf numFmtId="1" fontId="2" fillId="5" borderId="0" xfId="0" applyNumberFormat="1" applyFont="1" applyFill="1" applyBorder="1" applyAlignment="1">
      <alignment horizontal="right"/>
    </xf>
    <xf numFmtId="166" fontId="0" fillId="5" borderId="0" xfId="0" applyNumberFormat="1" applyFill="1" applyBorder="1" applyAlignment="1">
      <alignment horizontal="right"/>
    </xf>
    <xf numFmtId="0" fontId="0" fillId="0" borderId="0" xfId="0" applyAlignment="1">
      <alignment horizontal="left"/>
    </xf>
    <xf numFmtId="0" fontId="2" fillId="0" borderId="0" xfId="0" applyFont="1" applyBorder="1" applyAlignment="1">
      <alignment horizontal="left"/>
    </xf>
    <xf numFmtId="0" fontId="11" fillId="0" borderId="0" xfId="0" applyFont="1" applyFill="1" applyBorder="1" applyAlignment="1">
      <alignment horizontal="right"/>
    </xf>
    <xf numFmtId="0" fontId="2" fillId="0" borderId="0" xfId="0" applyFont="1" applyAlignment="1">
      <alignment horizontal="left"/>
    </xf>
    <xf numFmtId="0" fontId="0" fillId="0" borderId="0" xfId="0" applyFont="1" applyBorder="1"/>
    <xf numFmtId="0" fontId="10" fillId="0" borderId="0" xfId="0" applyFont="1" applyBorder="1" applyAlignment="1">
      <alignment horizontal="left"/>
    </xf>
    <xf numFmtId="0" fontId="14" fillId="3" borderId="5" xfId="1" applyFont="1" applyAlignment="1">
      <alignment horizontal="center"/>
    </xf>
    <xf numFmtId="0" fontId="9" fillId="0" borderId="0" xfId="0" applyFont="1"/>
    <xf numFmtId="0" fontId="0" fillId="0" borderId="4" xfId="0" applyBorder="1" applyAlignment="1">
      <alignment horizontal="right"/>
    </xf>
    <xf numFmtId="0" fontId="0" fillId="0" borderId="4" xfId="0" applyBorder="1"/>
    <xf numFmtId="2" fontId="15" fillId="7" borderId="5" xfId="2" applyNumberFormat="1" applyFont="1" applyFill="1" applyAlignment="1">
      <alignment horizontal="center"/>
    </xf>
    <xf numFmtId="2" fontId="0" fillId="4" borderId="0" xfId="0" applyNumberFormat="1" applyFill="1" applyBorder="1" applyAlignment="1" applyProtection="1">
      <alignment horizontal="right"/>
      <protection locked="0"/>
    </xf>
    <xf numFmtId="2" fontId="1" fillId="4" borderId="0" xfId="0" applyNumberFormat="1" applyFont="1" applyFill="1" applyBorder="1" applyAlignment="1" applyProtection="1">
      <alignment horizontal="right"/>
      <protection locked="0"/>
    </xf>
    <xf numFmtId="0" fontId="16" fillId="0" borderId="0" xfId="3"/>
    <xf numFmtId="0" fontId="0" fillId="8" borderId="0" xfId="0" applyFill="1"/>
    <xf numFmtId="0" fontId="16" fillId="8" borderId="0" xfId="3" applyFill="1"/>
    <xf numFmtId="0" fontId="11" fillId="8" borderId="0" xfId="0" applyFont="1" applyFill="1"/>
    <xf numFmtId="2" fontId="2" fillId="4" borderId="0" xfId="0" applyNumberFormat="1" applyFont="1" applyFill="1" applyBorder="1" applyAlignment="1" applyProtection="1">
      <alignment horizontal="right"/>
      <protection locked="0"/>
    </xf>
    <xf numFmtId="0" fontId="0" fillId="0" borderId="4" xfId="0" applyFill="1" applyBorder="1" applyAlignment="1">
      <alignment horizontal="right"/>
    </xf>
    <xf numFmtId="0" fontId="0" fillId="2" borderId="4" xfId="0" applyFill="1" applyBorder="1" applyAlignment="1">
      <alignment horizontal="right"/>
    </xf>
    <xf numFmtId="0" fontId="0" fillId="0" borderId="4" xfId="0" applyBorder="1" applyAlignment="1"/>
    <xf numFmtId="1" fontId="9" fillId="0" borderId="4" xfId="1" applyNumberFormat="1" applyFont="1" applyFill="1" applyBorder="1" applyAlignment="1">
      <alignment horizontal="center"/>
    </xf>
    <xf numFmtId="0" fontId="0" fillId="0" borderId="4" xfId="0" applyFill="1" applyBorder="1"/>
    <xf numFmtId="2" fontId="9" fillId="3" borderId="4" xfId="1" applyNumberFormat="1" applyFont="1" applyBorder="1" applyAlignment="1" applyProtection="1">
      <alignment horizontal="center"/>
      <protection locked="0"/>
    </xf>
    <xf numFmtId="1" fontId="9" fillId="2" borderId="4" xfId="1" applyNumberFormat="1" applyFont="1" applyFill="1" applyBorder="1" applyAlignment="1">
      <alignment horizontal="center"/>
    </xf>
    <xf numFmtId="166" fontId="17" fillId="5" borderId="0" xfId="0" applyNumberFormat="1" applyFont="1" applyFill="1" applyBorder="1" applyAlignment="1">
      <alignment horizontal="right"/>
    </xf>
    <xf numFmtId="2" fontId="17" fillId="5" borderId="0" xfId="0" applyNumberFormat="1" applyFont="1" applyFill="1" applyBorder="1" applyAlignment="1">
      <alignment horizontal="right"/>
    </xf>
    <xf numFmtId="2" fontId="18" fillId="4" borderId="0" xfId="0" applyNumberFormat="1" applyFont="1" applyFill="1" applyBorder="1" applyAlignment="1" applyProtection="1">
      <alignment horizontal="right"/>
      <protection locked="0"/>
    </xf>
    <xf numFmtId="0" fontId="19" fillId="5" borderId="0" xfId="0" applyFont="1" applyFill="1" applyBorder="1" applyAlignment="1">
      <alignment horizontal="right"/>
    </xf>
    <xf numFmtId="1" fontId="18" fillId="4" borderId="0" xfId="0" applyNumberFormat="1" applyFont="1" applyFill="1" applyBorder="1" applyAlignment="1" applyProtection="1">
      <alignment horizontal="right"/>
      <protection locked="0"/>
    </xf>
    <xf numFmtId="0" fontId="20" fillId="0" borderId="0" xfId="0" applyFont="1" applyAlignment="1">
      <alignment vertical="top"/>
    </xf>
    <xf numFmtId="166" fontId="0" fillId="0" borderId="0" xfId="0" applyNumberFormat="1" applyFill="1" applyBorder="1" applyAlignment="1">
      <alignment horizontal="right"/>
    </xf>
    <xf numFmtId="1" fontId="0" fillId="4" borderId="0" xfId="0" applyNumberFormat="1" applyFill="1" applyBorder="1" applyAlignment="1" applyProtection="1">
      <alignment horizontal="right"/>
      <protection locked="0"/>
    </xf>
    <xf numFmtId="2" fontId="2" fillId="0" borderId="0" xfId="0" applyNumberFormat="1" applyFont="1" applyBorder="1"/>
    <xf numFmtId="167" fontId="2" fillId="0" borderId="0" xfId="0" applyNumberFormat="1" applyFont="1" applyFill="1" applyBorder="1" applyAlignment="1">
      <alignment horizontal="center" vertical="center"/>
    </xf>
    <xf numFmtId="0" fontId="2" fillId="0" borderId="0" xfId="0" applyFont="1" applyBorder="1" applyAlignment="1">
      <alignment horizontal="center"/>
    </xf>
    <xf numFmtId="2" fontId="2" fillId="0" borderId="0" xfId="0" applyNumberFormat="1" applyFont="1" applyBorder="1" applyAlignment="1">
      <alignment horizontal="center"/>
    </xf>
    <xf numFmtId="165" fontId="18" fillId="5" borderId="0" xfId="0" applyNumberFormat="1" applyFont="1" applyFill="1" applyBorder="1" applyAlignment="1">
      <alignment horizontal="right"/>
    </xf>
    <xf numFmtId="0" fontId="3" fillId="0" borderId="0" xfId="0" applyFont="1" applyAlignment="1">
      <alignment horizontal="left"/>
    </xf>
    <xf numFmtId="2" fontId="22" fillId="2" borderId="0" xfId="0" applyNumberFormat="1" applyFont="1" applyFill="1" applyBorder="1" applyAlignment="1">
      <alignment horizontal="right"/>
    </xf>
    <xf numFmtId="0" fontId="23" fillId="10" borderId="0" xfId="0" applyFont="1" applyFill="1" applyAlignment="1" applyProtection="1">
      <alignment horizontal="left" wrapText="1"/>
      <protection locked="0"/>
    </xf>
    <xf numFmtId="0" fontId="24" fillId="9" borderId="0" xfId="0" applyFont="1" applyFill="1" applyAlignment="1" applyProtection="1">
      <alignment vertical="top" wrapText="1"/>
      <protection locked="0"/>
    </xf>
    <xf numFmtId="0" fontId="24" fillId="11" borderId="0" xfId="0" applyFont="1" applyFill="1" applyAlignment="1" applyProtection="1">
      <alignment vertical="top" wrapText="1"/>
      <protection locked="0"/>
    </xf>
    <xf numFmtId="0" fontId="24" fillId="12" borderId="0" xfId="0" applyFont="1" applyFill="1" applyAlignment="1" applyProtection="1">
      <alignment vertical="top" wrapText="1"/>
      <protection locked="0"/>
    </xf>
    <xf numFmtId="0" fontId="26" fillId="0" borderId="0" xfId="0" applyFont="1"/>
    <xf numFmtId="0" fontId="27" fillId="0" borderId="0" xfId="0" applyFont="1"/>
    <xf numFmtId="0" fontId="13" fillId="6" borderId="4" xfId="2" applyBorder="1"/>
    <xf numFmtId="0" fontId="0" fillId="0" borderId="4" xfId="0" applyBorder="1" applyAlignment="1">
      <alignment horizontal="center"/>
    </xf>
    <xf numFmtId="0" fontId="0" fillId="0" borderId="4" xfId="0" applyFill="1" applyBorder="1" applyAlignment="1">
      <alignment horizontal="center"/>
    </xf>
    <xf numFmtId="0" fontId="13" fillId="6" borderId="4" xfId="2" applyBorder="1" applyAlignment="1">
      <alignment horizontal="center"/>
    </xf>
    <xf numFmtId="0" fontId="2" fillId="0" borderId="0" xfId="0" applyFont="1" applyBorder="1" applyAlignment="1">
      <alignment horizontal="left" vertical="center" wrapText="1"/>
    </xf>
    <xf numFmtId="0" fontId="2" fillId="0" borderId="3" xfId="0" applyFont="1" applyBorder="1" applyAlignment="1">
      <alignment horizontal="left" vertical="center" wrapText="1"/>
    </xf>
    <xf numFmtId="0" fontId="2" fillId="0" borderId="0" xfId="0" applyFont="1" applyBorder="1" applyAlignment="1">
      <alignment horizontal="center" vertical="center"/>
    </xf>
    <xf numFmtId="0" fontId="2" fillId="0" borderId="3" xfId="0" applyFont="1" applyBorder="1" applyAlignment="1">
      <alignment horizontal="center" vertical="center"/>
    </xf>
    <xf numFmtId="2" fontId="4" fillId="0" borderId="2" xfId="0" applyNumberFormat="1" applyFont="1" applyFill="1" applyBorder="1" applyAlignment="1">
      <alignment wrapText="1"/>
    </xf>
    <xf numFmtId="0" fontId="0" fillId="0" borderId="0" xfId="0" applyAlignment="1">
      <alignment wrapText="1"/>
    </xf>
    <xf numFmtId="0" fontId="11" fillId="0" borderId="0" xfId="0" applyFont="1" applyBorder="1" applyAlignment="1">
      <alignment horizontal="center" wrapText="1"/>
    </xf>
    <xf numFmtId="164" fontId="4" fillId="0" borderId="0" xfId="0" applyNumberFormat="1" applyFont="1" applyFill="1" applyBorder="1" applyAlignment="1">
      <alignment horizontal="center"/>
    </xf>
    <xf numFmtId="2" fontId="4" fillId="0" borderId="0" xfId="0" applyNumberFormat="1" applyFont="1" applyFill="1" applyBorder="1" applyAlignment="1">
      <alignment horizontal="center"/>
    </xf>
    <xf numFmtId="0" fontId="20" fillId="0" borderId="0" xfId="0" applyFont="1" applyAlignment="1">
      <alignment horizontal="center" vertical="top" wrapText="1"/>
    </xf>
    <xf numFmtId="0" fontId="21" fillId="0" borderId="0" xfId="0" applyFont="1" applyAlignment="1" applyProtection="1">
      <alignment horizontal="center"/>
    </xf>
    <xf numFmtId="0" fontId="2" fillId="0" borderId="0" xfId="0" applyFont="1" applyBorder="1" applyAlignment="1">
      <alignment horizontal="left" vertical="center"/>
    </xf>
    <xf numFmtId="0" fontId="2" fillId="0" borderId="3" xfId="0" applyFont="1" applyBorder="1" applyAlignment="1">
      <alignment horizontal="left" vertical="center"/>
    </xf>
    <xf numFmtId="14" fontId="14" fillId="3" borderId="6" xfId="1" applyNumberFormat="1" applyFont="1" applyBorder="1" applyAlignment="1" applyProtection="1">
      <alignment horizontal="center"/>
      <protection locked="0"/>
    </xf>
    <xf numFmtId="0" fontId="14" fillId="3" borderId="7" xfId="1" applyFont="1" applyBorder="1" applyAlignment="1" applyProtection="1">
      <alignment horizontal="center"/>
      <protection locked="0"/>
    </xf>
    <xf numFmtId="0" fontId="14" fillId="3" borderId="8" xfId="1" applyFont="1" applyBorder="1" applyAlignment="1" applyProtection="1">
      <alignment horizontal="center"/>
      <protection locked="0"/>
    </xf>
    <xf numFmtId="0" fontId="21" fillId="0" borderId="0" xfId="0" applyFont="1" applyAlignment="1">
      <alignment horizontal="center"/>
    </xf>
    <xf numFmtId="0" fontId="11" fillId="0" borderId="9" xfId="0" applyFont="1" applyBorder="1" applyAlignment="1">
      <alignment horizontal="center"/>
    </xf>
    <xf numFmtId="0" fontId="11" fillId="0" borderId="0" xfId="0" applyFont="1" applyBorder="1" applyAlignment="1">
      <alignment horizontal="center"/>
    </xf>
    <xf numFmtId="0" fontId="11" fillId="0" borderId="1" xfId="0" applyFont="1" applyBorder="1" applyAlignment="1">
      <alignment horizontal="center"/>
    </xf>
    <xf numFmtId="0" fontId="2" fillId="0" borderId="4" xfId="0" applyFont="1" applyBorder="1" applyAlignment="1">
      <alignment horizontal="center" vertical="center" wrapText="1"/>
    </xf>
    <xf numFmtId="164" fontId="21" fillId="0" borderId="10" xfId="0" applyNumberFormat="1" applyFont="1" applyFill="1" applyBorder="1" applyAlignment="1">
      <alignment horizontal="left" wrapText="1"/>
    </xf>
    <xf numFmtId="164" fontId="21" fillId="0" borderId="11" xfId="0" applyNumberFormat="1" applyFont="1" applyFill="1" applyBorder="1" applyAlignment="1">
      <alignment horizontal="left" wrapText="1"/>
    </xf>
    <xf numFmtId="164" fontId="21" fillId="0" borderId="12" xfId="0" applyNumberFormat="1" applyFont="1" applyFill="1" applyBorder="1" applyAlignment="1">
      <alignment horizontal="left" wrapText="1"/>
    </xf>
    <xf numFmtId="164" fontId="21" fillId="0" borderId="9" xfId="0" applyNumberFormat="1" applyFont="1" applyFill="1" applyBorder="1" applyAlignment="1">
      <alignment horizontal="left" wrapText="1"/>
    </xf>
    <xf numFmtId="164" fontId="21" fillId="0" borderId="0" xfId="0" applyNumberFormat="1" applyFont="1" applyFill="1" applyBorder="1" applyAlignment="1">
      <alignment horizontal="left" wrapText="1"/>
    </xf>
    <xf numFmtId="164" fontId="21" fillId="0" borderId="13" xfId="0" applyNumberFormat="1" applyFont="1" applyFill="1" applyBorder="1" applyAlignment="1">
      <alignment horizontal="left" wrapText="1"/>
    </xf>
    <xf numFmtId="164" fontId="21" fillId="0" borderId="14" xfId="0" applyNumberFormat="1" applyFont="1" applyFill="1" applyBorder="1" applyAlignment="1">
      <alignment horizontal="left" wrapText="1"/>
    </xf>
    <xf numFmtId="164" fontId="21" fillId="0" borderId="1" xfId="0" applyNumberFormat="1" applyFont="1" applyFill="1" applyBorder="1" applyAlignment="1">
      <alignment horizontal="left" wrapText="1"/>
    </xf>
    <xf numFmtId="164" fontId="21" fillId="0" borderId="15" xfId="0" applyNumberFormat="1" applyFont="1" applyFill="1" applyBorder="1" applyAlignment="1">
      <alignment horizontal="left" wrapText="1"/>
    </xf>
  </cellXfs>
  <cellStyles count="4">
    <cellStyle name="Calculation" xfId="2" builtinId="22"/>
    <cellStyle name="Hyperlink" xfId="3" builtinId="8"/>
    <cellStyle name="Input" xfId="1" builtinId="20"/>
    <cellStyle name="Normal" xfId="0" builtinId="0"/>
  </cellStyles>
  <dxfs count="22">
    <dxf>
      <font>
        <color auto="1"/>
      </font>
      <fill>
        <patternFill>
          <bgColor rgb="FFFF0000"/>
        </patternFill>
      </fill>
    </dxf>
    <dxf>
      <font>
        <color auto="1"/>
      </font>
      <fill>
        <patternFill>
          <bgColor rgb="FFFF0000"/>
        </patternFill>
      </fill>
    </dxf>
    <dxf>
      <font>
        <color rgb="FFFF0000"/>
      </font>
      <border>
        <left style="thin">
          <color rgb="FFFF0000"/>
        </left>
        <right style="thin">
          <color rgb="FFFF0000"/>
        </right>
        <top style="thin">
          <color rgb="FFFF0000"/>
        </top>
        <bottom style="thin">
          <color rgb="FFFF0000"/>
        </bottom>
      </border>
    </dxf>
    <dxf>
      <font>
        <color auto="1"/>
      </font>
      <fill>
        <patternFill>
          <bgColor rgb="FFFF0000"/>
        </patternFill>
      </fill>
    </dxf>
    <dxf>
      <font>
        <color rgb="FFFF0000"/>
      </font>
      <border>
        <left style="thin">
          <color rgb="FFFF0000"/>
        </left>
        <right style="thin">
          <color rgb="FFFF0000"/>
        </right>
        <top style="thin">
          <color rgb="FFFF0000"/>
        </top>
        <bottom style="thin">
          <color rgb="FFFF0000"/>
        </bottom>
      </border>
    </dxf>
    <dxf>
      <font>
        <color auto="1"/>
      </font>
      <fill>
        <patternFill>
          <bgColor rgb="FFFF0000"/>
        </patternFill>
      </fill>
    </dxf>
    <dxf>
      <font>
        <color auto="1"/>
      </font>
      <fill>
        <patternFill>
          <bgColor rgb="FFFF0000"/>
        </patternFill>
      </fill>
    </dxf>
    <dxf>
      <font>
        <color rgb="FFFF0000"/>
      </font>
      <border>
        <left style="thin">
          <color rgb="FFFF0000"/>
        </left>
        <right style="thin">
          <color rgb="FFFF0000"/>
        </right>
        <top style="thin">
          <color rgb="FFFF0000"/>
        </top>
        <bottom style="thin">
          <color rgb="FFFF0000"/>
        </bottom>
      </border>
    </dxf>
    <dxf>
      <font>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9C0006"/>
      </font>
      <fill>
        <patternFill>
          <bgColor rgb="FFFFC7CE"/>
        </patternFill>
      </fill>
    </dxf>
    <dxf>
      <font>
        <color auto="1"/>
      </font>
      <fill>
        <patternFill>
          <bgColor rgb="FFFF0000"/>
        </patternFill>
      </fill>
    </dxf>
    <dxf>
      <font>
        <color auto="1"/>
      </font>
      <fill>
        <patternFill>
          <bgColor rgb="FFFF0000"/>
        </patternFill>
      </fill>
    </dxf>
    <dxf>
      <font>
        <color rgb="FFFF0000"/>
      </font>
      <border>
        <left style="thin">
          <color rgb="FFFF0000"/>
        </left>
        <right style="thin">
          <color rgb="FFFF0000"/>
        </right>
        <top style="thin">
          <color rgb="FFFF0000"/>
        </top>
        <bottom style="thin">
          <color rgb="FFFF0000"/>
        </bottom>
      </border>
    </dxf>
    <dxf>
      <font>
        <color auto="1"/>
      </font>
      <fill>
        <patternFill>
          <bgColor rgb="FFFF0000"/>
        </patternFill>
      </fill>
    </dxf>
    <dxf>
      <font>
        <color rgb="FFFF0000"/>
      </font>
      <border>
        <left style="thin">
          <color rgb="FFFF0000"/>
        </left>
        <right style="thin">
          <color rgb="FFFF0000"/>
        </right>
        <top style="thin">
          <color rgb="FFFF0000"/>
        </top>
        <bottom style="thin">
          <color rgb="FFFF0000"/>
        </bottom>
      </border>
    </dxf>
    <dxf>
      <font>
        <color auto="1"/>
      </font>
      <fill>
        <patternFill>
          <bgColor rgb="FFFF0000"/>
        </patternFill>
      </fill>
    </dxf>
    <dxf>
      <font>
        <color auto="1"/>
      </font>
      <fill>
        <patternFill>
          <bgColor rgb="FFFF0000"/>
        </patternFill>
      </fill>
    </dxf>
    <dxf>
      <font>
        <color rgb="FFFF0000"/>
      </font>
      <border>
        <left style="thin">
          <color rgb="FFFF0000"/>
        </left>
        <right style="thin">
          <color rgb="FFFF0000"/>
        </right>
        <top style="thin">
          <color rgb="FFFF0000"/>
        </top>
        <bottom style="thin">
          <color rgb="FFFF0000"/>
        </bottom>
      </border>
    </dxf>
    <dxf>
      <font>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8A3E"/>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11</xdr:col>
      <xdr:colOff>425606</xdr:colOff>
      <xdr:row>42</xdr:row>
      <xdr:rowOff>117541</xdr:rowOff>
    </xdr:from>
    <xdr:to>
      <xdr:col>16</xdr:col>
      <xdr:colOff>896748</xdr:colOff>
      <xdr:row>59</xdr:row>
      <xdr:rowOff>177900</xdr:rowOff>
    </xdr:to>
    <xdr:pic>
      <xdr:nvPicPr>
        <xdr:cNvPr id="2" name="Picture 1">
          <a:extLst>
            <a:ext uri="{FF2B5EF4-FFF2-40B4-BE49-F238E27FC236}">
              <a16:creationId xmlns:a16="http://schemas.microsoft.com/office/drawing/2014/main" id="{8B0DC2C6-0C78-41C6-95F7-9A9441A331D1}"/>
            </a:ext>
          </a:extLst>
        </xdr:cNvPr>
        <xdr:cNvPicPr>
          <a:picLocks noChangeAspect="1"/>
        </xdr:cNvPicPr>
      </xdr:nvPicPr>
      <xdr:blipFill rotWithShape="1">
        <a:blip xmlns:r="http://schemas.openxmlformats.org/officeDocument/2006/relationships" r:embed="rId1"/>
        <a:srcRect r="12454"/>
        <a:stretch/>
      </xdr:blipFill>
      <xdr:spPr>
        <a:xfrm>
          <a:off x="11882820" y="7955255"/>
          <a:ext cx="4689357" cy="3326074"/>
        </a:xfrm>
        <a:prstGeom prst="rect">
          <a:avLst/>
        </a:prstGeom>
        <a:ln>
          <a:solidFill>
            <a:schemeClr val="tx1"/>
          </a:solidFill>
        </a:ln>
      </xdr:spPr>
    </xdr:pic>
    <xdr:clientData/>
  </xdr:twoCellAnchor>
  <xdr:twoCellAnchor editAs="oneCell">
    <xdr:from>
      <xdr:col>7</xdr:col>
      <xdr:colOff>68254</xdr:colOff>
      <xdr:row>25</xdr:row>
      <xdr:rowOff>71312</xdr:rowOff>
    </xdr:from>
    <xdr:to>
      <xdr:col>11</xdr:col>
      <xdr:colOff>190679</xdr:colOff>
      <xdr:row>33</xdr:row>
      <xdr:rowOff>134716</xdr:rowOff>
    </xdr:to>
    <xdr:pic>
      <xdr:nvPicPr>
        <xdr:cNvPr id="3" name="Picture 2">
          <a:extLst>
            <a:ext uri="{FF2B5EF4-FFF2-40B4-BE49-F238E27FC236}">
              <a16:creationId xmlns:a16="http://schemas.microsoft.com/office/drawing/2014/main" id="{F7740D51-59A5-4516-BC51-0A528ADB0806}"/>
            </a:ext>
          </a:extLst>
        </xdr:cNvPr>
        <xdr:cNvPicPr>
          <a:picLocks noChangeAspect="1"/>
        </xdr:cNvPicPr>
      </xdr:nvPicPr>
      <xdr:blipFill>
        <a:blip xmlns:r="http://schemas.openxmlformats.org/officeDocument/2006/relationships" r:embed="rId2"/>
        <a:stretch>
          <a:fillRect/>
        </a:stretch>
      </xdr:blipFill>
      <xdr:spPr>
        <a:xfrm>
          <a:off x="8154979" y="4986212"/>
          <a:ext cx="3513325" cy="1406429"/>
        </a:xfrm>
        <a:prstGeom prst="rect">
          <a:avLst/>
        </a:prstGeom>
        <a:ln>
          <a:solidFill>
            <a:sysClr val="windowText" lastClr="000000"/>
          </a:solidFill>
        </a:ln>
      </xdr:spPr>
    </xdr:pic>
    <xdr:clientData/>
  </xdr:twoCellAnchor>
  <xdr:twoCellAnchor editAs="oneCell">
    <xdr:from>
      <xdr:col>11</xdr:col>
      <xdr:colOff>297463</xdr:colOff>
      <xdr:row>25</xdr:row>
      <xdr:rowOff>67234</xdr:rowOff>
    </xdr:from>
    <xdr:to>
      <xdr:col>16</xdr:col>
      <xdr:colOff>783057</xdr:colOff>
      <xdr:row>40</xdr:row>
      <xdr:rowOff>96217</xdr:rowOff>
    </xdr:to>
    <xdr:pic>
      <xdr:nvPicPr>
        <xdr:cNvPr id="4" name="Picture 3">
          <a:extLst>
            <a:ext uri="{FF2B5EF4-FFF2-40B4-BE49-F238E27FC236}">
              <a16:creationId xmlns:a16="http://schemas.microsoft.com/office/drawing/2014/main" id="{007F5186-B737-484B-9789-08AE21FB72D0}"/>
            </a:ext>
          </a:extLst>
        </xdr:cNvPr>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3030" r="6984" b="18729"/>
        <a:stretch/>
      </xdr:blipFill>
      <xdr:spPr bwMode="auto">
        <a:xfrm>
          <a:off x="11775088" y="4982134"/>
          <a:ext cx="4724219" cy="2503578"/>
        </a:xfrm>
        <a:prstGeom prst="rect">
          <a:avLst/>
        </a:prstGeom>
        <a:noFill/>
        <a:ln>
          <a:solidFill>
            <a:sysClr val="windowText" lastClr="000000"/>
          </a:solidFill>
        </a:ln>
        <a:extLst>
          <a:ext uri="{909E8E84-426E-40DD-AFC4-6F175D3DCCD1}">
            <a14:hiddenFill xmlns:a14="http://schemas.microsoft.com/office/drawing/2010/main">
              <a:solidFill>
                <a:srgbClr val="FFFFFF"/>
              </a:solidFill>
            </a14:hiddenFill>
          </a:ext>
        </a:extLst>
      </xdr:spPr>
    </xdr:pic>
    <xdr:clientData/>
  </xdr:twoCellAnchor>
  <xdr:twoCellAnchor>
    <xdr:from>
      <xdr:col>7</xdr:col>
      <xdr:colOff>776949</xdr:colOff>
      <xdr:row>36</xdr:row>
      <xdr:rowOff>144095</xdr:rowOff>
    </xdr:from>
    <xdr:to>
      <xdr:col>9</xdr:col>
      <xdr:colOff>799117</xdr:colOff>
      <xdr:row>43</xdr:row>
      <xdr:rowOff>80577</xdr:rowOff>
    </xdr:to>
    <xdr:pic>
      <xdr:nvPicPr>
        <xdr:cNvPr id="5" name="Picture 4">
          <a:extLst>
            <a:ext uri="{FF2B5EF4-FFF2-40B4-BE49-F238E27FC236}">
              <a16:creationId xmlns:a16="http://schemas.microsoft.com/office/drawing/2014/main" id="{4ADEEA24-A930-494C-9FA9-BDDE8724A4A7}"/>
            </a:ext>
          </a:extLst>
        </xdr:cNvPr>
        <xdr:cNvPicPr>
          <a:picLocks noChangeAspect="1"/>
        </xdr:cNvPicPr>
      </xdr:nvPicPr>
      <xdr:blipFill>
        <a:blip xmlns:r="http://schemas.openxmlformats.org/officeDocument/2006/relationships" r:embed="rId4"/>
        <a:stretch>
          <a:fillRect/>
        </a:stretch>
      </xdr:blipFill>
      <xdr:spPr>
        <a:xfrm>
          <a:off x="8863674" y="6783020"/>
          <a:ext cx="1717618" cy="1269982"/>
        </a:xfrm>
        <a:prstGeom prst="rect">
          <a:avLst/>
        </a:prstGeom>
      </xdr:spPr>
    </xdr:pic>
    <xdr:clientData/>
  </xdr:twoCellAnchor>
  <xdr:twoCellAnchor>
    <xdr:from>
      <xdr:col>6</xdr:col>
      <xdr:colOff>28575</xdr:colOff>
      <xdr:row>44</xdr:row>
      <xdr:rowOff>112059</xdr:rowOff>
    </xdr:from>
    <xdr:to>
      <xdr:col>9</xdr:col>
      <xdr:colOff>40020</xdr:colOff>
      <xdr:row>44</xdr:row>
      <xdr:rowOff>123825</xdr:rowOff>
    </xdr:to>
    <xdr:cxnSp macro="">
      <xdr:nvCxnSpPr>
        <xdr:cNvPr id="6" name="Straight Arrow Connector 5">
          <a:extLst>
            <a:ext uri="{FF2B5EF4-FFF2-40B4-BE49-F238E27FC236}">
              <a16:creationId xmlns:a16="http://schemas.microsoft.com/office/drawing/2014/main" id="{0379FD76-29D6-4C88-AFEC-04381F1A51B8}"/>
            </a:ext>
          </a:extLst>
        </xdr:cNvPr>
        <xdr:cNvCxnSpPr/>
      </xdr:nvCxnSpPr>
      <xdr:spPr>
        <a:xfrm flipH="1">
          <a:off x="7048500" y="8274984"/>
          <a:ext cx="2773695" cy="11766"/>
        </a:xfrm>
        <a:prstGeom prst="straightConnector1">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750795</xdr:colOff>
      <xdr:row>34</xdr:row>
      <xdr:rowOff>123265</xdr:rowOff>
    </xdr:from>
    <xdr:to>
      <xdr:col>11</xdr:col>
      <xdr:colOff>302559</xdr:colOff>
      <xdr:row>34</xdr:row>
      <xdr:rowOff>134472</xdr:rowOff>
    </xdr:to>
    <xdr:cxnSp macro="">
      <xdr:nvCxnSpPr>
        <xdr:cNvPr id="7" name="Straight Connector 6">
          <a:extLst>
            <a:ext uri="{FF2B5EF4-FFF2-40B4-BE49-F238E27FC236}">
              <a16:creationId xmlns:a16="http://schemas.microsoft.com/office/drawing/2014/main" id="{32E09208-BFEF-4A31-9589-EFADFA135B80}"/>
            </a:ext>
          </a:extLst>
        </xdr:cNvPr>
        <xdr:cNvCxnSpPr/>
      </xdr:nvCxnSpPr>
      <xdr:spPr>
        <a:xfrm>
          <a:off x="7770720" y="6571690"/>
          <a:ext cx="4009464" cy="11207"/>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67237</xdr:colOff>
      <xdr:row>27</xdr:row>
      <xdr:rowOff>223898</xdr:rowOff>
    </xdr:from>
    <xdr:to>
      <xdr:col>7</xdr:col>
      <xdr:colOff>68254</xdr:colOff>
      <xdr:row>28</xdr:row>
      <xdr:rowOff>78441</xdr:rowOff>
    </xdr:to>
    <xdr:cxnSp macro="">
      <xdr:nvCxnSpPr>
        <xdr:cNvPr id="8" name="Straight Arrow Connector 7">
          <a:extLst>
            <a:ext uri="{FF2B5EF4-FFF2-40B4-BE49-F238E27FC236}">
              <a16:creationId xmlns:a16="http://schemas.microsoft.com/office/drawing/2014/main" id="{7BA97413-9017-4A9F-AB7D-A412C1FE0A9B}"/>
            </a:ext>
          </a:extLst>
        </xdr:cNvPr>
        <xdr:cNvCxnSpPr>
          <a:stCxn id="3" idx="1"/>
        </xdr:cNvCxnSpPr>
      </xdr:nvCxnSpPr>
      <xdr:spPr>
        <a:xfrm flipH="1">
          <a:off x="7087162" y="5681723"/>
          <a:ext cx="1067817" cy="83143"/>
        </a:xfrm>
        <a:prstGeom prst="straightConnector1">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22413</xdr:colOff>
      <xdr:row>27</xdr:row>
      <xdr:rowOff>223898</xdr:rowOff>
    </xdr:from>
    <xdr:to>
      <xdr:col>7</xdr:col>
      <xdr:colOff>68254</xdr:colOff>
      <xdr:row>30</xdr:row>
      <xdr:rowOff>56029</xdr:rowOff>
    </xdr:to>
    <xdr:cxnSp macro="">
      <xdr:nvCxnSpPr>
        <xdr:cNvPr id="9" name="Straight Arrow Connector 8">
          <a:extLst>
            <a:ext uri="{FF2B5EF4-FFF2-40B4-BE49-F238E27FC236}">
              <a16:creationId xmlns:a16="http://schemas.microsoft.com/office/drawing/2014/main" id="{F021B300-4929-48D6-B6CB-D8F91A633E8B}"/>
            </a:ext>
          </a:extLst>
        </xdr:cNvPr>
        <xdr:cNvCxnSpPr>
          <a:stCxn id="3" idx="1"/>
        </xdr:cNvCxnSpPr>
      </xdr:nvCxnSpPr>
      <xdr:spPr>
        <a:xfrm flipH="1">
          <a:off x="7042338" y="5681723"/>
          <a:ext cx="1112641" cy="441731"/>
        </a:xfrm>
        <a:prstGeom prst="straightConnector1">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9526</xdr:colOff>
      <xdr:row>55</xdr:row>
      <xdr:rowOff>93008</xdr:rowOff>
    </xdr:from>
    <xdr:to>
      <xdr:col>8</xdr:col>
      <xdr:colOff>190500</xdr:colOff>
      <xdr:row>55</xdr:row>
      <xdr:rowOff>95250</xdr:rowOff>
    </xdr:to>
    <xdr:cxnSp macro="">
      <xdr:nvCxnSpPr>
        <xdr:cNvPr id="10" name="Straight Arrow Connector 9">
          <a:extLst>
            <a:ext uri="{FF2B5EF4-FFF2-40B4-BE49-F238E27FC236}">
              <a16:creationId xmlns:a16="http://schemas.microsoft.com/office/drawing/2014/main" id="{F971450C-DF12-4C68-8B8F-89123F581AE1}"/>
            </a:ext>
          </a:extLst>
        </xdr:cNvPr>
        <xdr:cNvCxnSpPr/>
      </xdr:nvCxnSpPr>
      <xdr:spPr>
        <a:xfrm flipH="1" flipV="1">
          <a:off x="7030812" y="10434437"/>
          <a:ext cx="2085974" cy="2242"/>
        </a:xfrm>
        <a:prstGeom prst="straightConnector1">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44824</xdr:colOff>
      <xdr:row>59</xdr:row>
      <xdr:rowOff>81642</xdr:rowOff>
    </xdr:from>
    <xdr:to>
      <xdr:col>7</xdr:col>
      <xdr:colOff>108857</xdr:colOff>
      <xdr:row>59</xdr:row>
      <xdr:rowOff>91377</xdr:rowOff>
    </xdr:to>
    <xdr:cxnSp macro="">
      <xdr:nvCxnSpPr>
        <xdr:cNvPr id="11" name="Straight Arrow Connector 10">
          <a:extLst>
            <a:ext uri="{FF2B5EF4-FFF2-40B4-BE49-F238E27FC236}">
              <a16:creationId xmlns:a16="http://schemas.microsoft.com/office/drawing/2014/main" id="{B4E09050-89EB-4E19-B276-E1AD36F05DED}"/>
            </a:ext>
          </a:extLst>
        </xdr:cNvPr>
        <xdr:cNvCxnSpPr/>
      </xdr:nvCxnSpPr>
      <xdr:spPr>
        <a:xfrm flipH="1">
          <a:off x="7066110" y="11185071"/>
          <a:ext cx="1125390" cy="9735"/>
        </a:xfrm>
        <a:prstGeom prst="straightConnector1">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24009</xdr:colOff>
      <xdr:row>43</xdr:row>
      <xdr:rowOff>78439</xdr:rowOff>
    </xdr:from>
    <xdr:to>
      <xdr:col>9</xdr:col>
      <xdr:colOff>24009</xdr:colOff>
      <xdr:row>44</xdr:row>
      <xdr:rowOff>123262</xdr:rowOff>
    </xdr:to>
    <xdr:cxnSp macro="">
      <xdr:nvCxnSpPr>
        <xdr:cNvPr id="12" name="Straight Connector 11">
          <a:extLst>
            <a:ext uri="{FF2B5EF4-FFF2-40B4-BE49-F238E27FC236}">
              <a16:creationId xmlns:a16="http://schemas.microsoft.com/office/drawing/2014/main" id="{6D10C1B1-5B62-4D1C-A62E-E5B65EE421CA}"/>
            </a:ext>
          </a:extLst>
        </xdr:cNvPr>
        <xdr:cNvCxnSpPr/>
      </xdr:nvCxnSpPr>
      <xdr:spPr>
        <a:xfrm flipV="1">
          <a:off x="9806184" y="8050864"/>
          <a:ext cx="0" cy="235323"/>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33619</xdr:colOff>
      <xdr:row>42</xdr:row>
      <xdr:rowOff>78443</xdr:rowOff>
    </xdr:from>
    <xdr:to>
      <xdr:col>6</xdr:col>
      <xdr:colOff>750795</xdr:colOff>
      <xdr:row>42</xdr:row>
      <xdr:rowOff>78443</xdr:rowOff>
    </xdr:to>
    <xdr:cxnSp macro="">
      <xdr:nvCxnSpPr>
        <xdr:cNvPr id="13" name="Straight Arrow Connector 12">
          <a:extLst>
            <a:ext uri="{FF2B5EF4-FFF2-40B4-BE49-F238E27FC236}">
              <a16:creationId xmlns:a16="http://schemas.microsoft.com/office/drawing/2014/main" id="{FF87C35E-AA4F-4699-8BB9-495BD61C58BA}"/>
            </a:ext>
          </a:extLst>
        </xdr:cNvPr>
        <xdr:cNvCxnSpPr/>
      </xdr:nvCxnSpPr>
      <xdr:spPr>
        <a:xfrm flipH="1">
          <a:off x="7053544" y="7860368"/>
          <a:ext cx="717176" cy="0"/>
        </a:xfrm>
        <a:prstGeom prst="straightConnector1">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750795</xdr:colOff>
      <xdr:row>34</xdr:row>
      <xdr:rowOff>134473</xdr:rowOff>
    </xdr:from>
    <xdr:to>
      <xdr:col>6</xdr:col>
      <xdr:colOff>750796</xdr:colOff>
      <xdr:row>42</xdr:row>
      <xdr:rowOff>67235</xdr:rowOff>
    </xdr:to>
    <xdr:cxnSp macro="">
      <xdr:nvCxnSpPr>
        <xdr:cNvPr id="14" name="Straight Connector 13">
          <a:extLst>
            <a:ext uri="{FF2B5EF4-FFF2-40B4-BE49-F238E27FC236}">
              <a16:creationId xmlns:a16="http://schemas.microsoft.com/office/drawing/2014/main" id="{A927F092-CC73-495C-9E57-2BF6A130CE6B}"/>
            </a:ext>
          </a:extLst>
        </xdr:cNvPr>
        <xdr:cNvCxnSpPr/>
      </xdr:nvCxnSpPr>
      <xdr:spPr>
        <a:xfrm flipV="1">
          <a:off x="7770720" y="6582898"/>
          <a:ext cx="1" cy="1266262"/>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114300</xdr:colOff>
      <xdr:row>66</xdr:row>
      <xdr:rowOff>123825</xdr:rowOff>
    </xdr:from>
    <xdr:to>
      <xdr:col>8</xdr:col>
      <xdr:colOff>353785</xdr:colOff>
      <xdr:row>66</xdr:row>
      <xdr:rowOff>136071</xdr:rowOff>
    </xdr:to>
    <xdr:cxnSp macro="">
      <xdr:nvCxnSpPr>
        <xdr:cNvPr id="15" name="Straight Arrow Connector 14">
          <a:extLst>
            <a:ext uri="{FF2B5EF4-FFF2-40B4-BE49-F238E27FC236}">
              <a16:creationId xmlns:a16="http://schemas.microsoft.com/office/drawing/2014/main" id="{16DD0F5D-2910-44ED-8907-65D618ABB567}"/>
            </a:ext>
          </a:extLst>
        </xdr:cNvPr>
        <xdr:cNvCxnSpPr/>
      </xdr:nvCxnSpPr>
      <xdr:spPr>
        <a:xfrm flipH="1" flipV="1">
          <a:off x="8196943" y="12560754"/>
          <a:ext cx="1083128" cy="12246"/>
        </a:xfrm>
        <a:prstGeom prst="straightConnector1">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326571</xdr:colOff>
      <xdr:row>59</xdr:row>
      <xdr:rowOff>40821</xdr:rowOff>
    </xdr:from>
    <xdr:to>
      <xdr:col>8</xdr:col>
      <xdr:colOff>336096</xdr:colOff>
      <xdr:row>66</xdr:row>
      <xdr:rowOff>142876</xdr:rowOff>
    </xdr:to>
    <xdr:cxnSp macro="">
      <xdr:nvCxnSpPr>
        <xdr:cNvPr id="16" name="Straight Connector 15">
          <a:extLst>
            <a:ext uri="{FF2B5EF4-FFF2-40B4-BE49-F238E27FC236}">
              <a16:creationId xmlns:a16="http://schemas.microsoft.com/office/drawing/2014/main" id="{1CF95B4C-DBF5-41F4-9631-B2AAB1FEEE70}"/>
            </a:ext>
          </a:extLst>
        </xdr:cNvPr>
        <xdr:cNvCxnSpPr/>
      </xdr:nvCxnSpPr>
      <xdr:spPr>
        <a:xfrm flipH="1" flipV="1">
          <a:off x="9252857" y="11144250"/>
          <a:ext cx="9525" cy="1435555"/>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108857</xdr:colOff>
      <xdr:row>47</xdr:row>
      <xdr:rowOff>186420</xdr:rowOff>
    </xdr:from>
    <xdr:to>
      <xdr:col>11</xdr:col>
      <xdr:colOff>400050</xdr:colOff>
      <xdr:row>48</xdr:row>
      <xdr:rowOff>13607</xdr:rowOff>
    </xdr:to>
    <xdr:cxnSp macro="">
      <xdr:nvCxnSpPr>
        <xdr:cNvPr id="17" name="Straight Connector 16">
          <a:extLst>
            <a:ext uri="{FF2B5EF4-FFF2-40B4-BE49-F238E27FC236}">
              <a16:creationId xmlns:a16="http://schemas.microsoft.com/office/drawing/2014/main" id="{646FEBCC-B0BC-437D-8EBF-D3F2E6D5DFB7}"/>
            </a:ext>
          </a:extLst>
        </xdr:cNvPr>
        <xdr:cNvCxnSpPr/>
      </xdr:nvCxnSpPr>
      <xdr:spPr>
        <a:xfrm flipH="1">
          <a:off x="8191500" y="9003849"/>
          <a:ext cx="3665764" cy="17687"/>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107622</xdr:colOff>
      <xdr:row>48</xdr:row>
      <xdr:rowOff>0</xdr:rowOff>
    </xdr:from>
    <xdr:to>
      <xdr:col>7</xdr:col>
      <xdr:colOff>122464</xdr:colOff>
      <xdr:row>59</xdr:row>
      <xdr:rowOff>104928</xdr:rowOff>
    </xdr:to>
    <xdr:cxnSp macro="">
      <xdr:nvCxnSpPr>
        <xdr:cNvPr id="18" name="Straight Connector 17">
          <a:extLst>
            <a:ext uri="{FF2B5EF4-FFF2-40B4-BE49-F238E27FC236}">
              <a16:creationId xmlns:a16="http://schemas.microsoft.com/office/drawing/2014/main" id="{FB48A447-A320-49F4-8160-C2E869799730}"/>
            </a:ext>
          </a:extLst>
        </xdr:cNvPr>
        <xdr:cNvCxnSpPr/>
      </xdr:nvCxnSpPr>
      <xdr:spPr>
        <a:xfrm flipV="1">
          <a:off x="8190265" y="9007929"/>
          <a:ext cx="14842" cy="2200428"/>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20</xdr:col>
      <xdr:colOff>86591</xdr:colOff>
      <xdr:row>5</xdr:row>
      <xdr:rowOff>86591</xdr:rowOff>
    </xdr:from>
    <xdr:to>
      <xdr:col>45</xdr:col>
      <xdr:colOff>474162</xdr:colOff>
      <xdr:row>59</xdr:row>
      <xdr:rowOff>173181</xdr:rowOff>
    </xdr:to>
    <xdr:pic>
      <xdr:nvPicPr>
        <xdr:cNvPr id="19" name="Picture 18">
          <a:extLst>
            <a:ext uri="{FF2B5EF4-FFF2-40B4-BE49-F238E27FC236}">
              <a16:creationId xmlns:a16="http://schemas.microsoft.com/office/drawing/2014/main" id="{92EFD6F2-0B82-4F78-AC02-176243BB0202}"/>
            </a:ext>
          </a:extLst>
        </xdr:cNvPr>
        <xdr:cNvPicPr>
          <a:picLocks noChangeAspect="1"/>
        </xdr:cNvPicPr>
      </xdr:nvPicPr>
      <xdr:blipFill>
        <a:blip xmlns:r="http://schemas.openxmlformats.org/officeDocument/2006/relationships" r:embed="rId5"/>
        <a:stretch>
          <a:fillRect/>
        </a:stretch>
      </xdr:blipFill>
      <xdr:spPr>
        <a:xfrm>
          <a:off x="17469716" y="1058141"/>
          <a:ext cx="15850456" cy="10164040"/>
        </a:xfrm>
        <a:prstGeom prst="rect">
          <a:avLst/>
        </a:prstGeom>
      </xdr:spPr>
    </xdr:pic>
    <xdr:clientData/>
  </xdr:twoCellAnchor>
  <xdr:twoCellAnchor>
    <xdr:from>
      <xdr:col>5</xdr:col>
      <xdr:colOff>1273550</xdr:colOff>
      <xdr:row>49</xdr:row>
      <xdr:rowOff>110427</xdr:rowOff>
    </xdr:from>
    <xdr:to>
      <xdr:col>6</xdr:col>
      <xdr:colOff>476250</xdr:colOff>
      <xdr:row>49</xdr:row>
      <xdr:rowOff>114300</xdr:rowOff>
    </xdr:to>
    <xdr:cxnSp macro="">
      <xdr:nvCxnSpPr>
        <xdr:cNvPr id="20" name="Straight Arrow Connector 19">
          <a:extLst>
            <a:ext uri="{FF2B5EF4-FFF2-40B4-BE49-F238E27FC236}">
              <a16:creationId xmlns:a16="http://schemas.microsoft.com/office/drawing/2014/main" id="{672F2BFE-0EE6-407C-8A3C-2C237198777E}"/>
            </a:ext>
          </a:extLst>
        </xdr:cNvPr>
        <xdr:cNvCxnSpPr/>
      </xdr:nvCxnSpPr>
      <xdr:spPr>
        <a:xfrm flipH="1" flipV="1">
          <a:off x="7017125" y="9254427"/>
          <a:ext cx="479050" cy="3873"/>
        </a:xfrm>
        <a:prstGeom prst="straightConnector1">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76200</xdr:colOff>
      <xdr:row>45</xdr:row>
      <xdr:rowOff>38100</xdr:rowOff>
    </xdr:from>
    <xdr:to>
      <xdr:col>11</xdr:col>
      <xdr:colOff>66675</xdr:colOff>
      <xdr:row>47</xdr:row>
      <xdr:rowOff>95250</xdr:rowOff>
    </xdr:to>
    <xdr:sp macro="" textlink="">
      <xdr:nvSpPr>
        <xdr:cNvPr id="21" name="TextBox 20">
          <a:extLst>
            <a:ext uri="{FF2B5EF4-FFF2-40B4-BE49-F238E27FC236}">
              <a16:creationId xmlns:a16="http://schemas.microsoft.com/office/drawing/2014/main" id="{6B587752-9B8F-4FCB-B2FB-A21624A8DC83}"/>
            </a:ext>
          </a:extLst>
        </xdr:cNvPr>
        <xdr:cNvSpPr txBox="1"/>
      </xdr:nvSpPr>
      <xdr:spPr>
        <a:xfrm>
          <a:off x="8162925" y="8391525"/>
          <a:ext cx="3381375" cy="466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NZ" sz="1100"/>
            <a:t>For Hanmer Southern</a:t>
          </a:r>
          <a:r>
            <a:rPr lang="en-NZ" sz="1100" baseline="0"/>
            <a:t> Flats use 80. For all other areas use 100.</a:t>
          </a:r>
          <a:endParaRPr lang="en-NZ" sz="1100"/>
        </a:p>
      </xdr:txBody>
    </xdr:sp>
    <xdr:clientData/>
  </xdr:twoCellAnchor>
  <xdr:twoCellAnchor>
    <xdr:from>
      <xdr:col>6</xdr:col>
      <xdr:colOff>495300</xdr:colOff>
      <xdr:row>46</xdr:row>
      <xdr:rowOff>47625</xdr:rowOff>
    </xdr:from>
    <xdr:to>
      <xdr:col>6</xdr:col>
      <xdr:colOff>504825</xdr:colOff>
      <xdr:row>49</xdr:row>
      <xdr:rowOff>114301</xdr:rowOff>
    </xdr:to>
    <xdr:cxnSp macro="">
      <xdr:nvCxnSpPr>
        <xdr:cNvPr id="22" name="Straight Connector 21">
          <a:extLst>
            <a:ext uri="{FF2B5EF4-FFF2-40B4-BE49-F238E27FC236}">
              <a16:creationId xmlns:a16="http://schemas.microsoft.com/office/drawing/2014/main" id="{4CA4CA2F-A350-4EA9-9236-672A78277643}"/>
            </a:ext>
          </a:extLst>
        </xdr:cNvPr>
        <xdr:cNvCxnSpPr/>
      </xdr:nvCxnSpPr>
      <xdr:spPr>
        <a:xfrm flipV="1">
          <a:off x="7515225" y="8591550"/>
          <a:ext cx="9525" cy="666751"/>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495300</xdr:colOff>
      <xdr:row>46</xdr:row>
      <xdr:rowOff>76200</xdr:rowOff>
    </xdr:from>
    <xdr:to>
      <xdr:col>7</xdr:col>
      <xdr:colOff>76200</xdr:colOff>
      <xdr:row>46</xdr:row>
      <xdr:rowOff>80963</xdr:rowOff>
    </xdr:to>
    <xdr:cxnSp macro="">
      <xdr:nvCxnSpPr>
        <xdr:cNvPr id="23" name="Straight Connector 22">
          <a:extLst>
            <a:ext uri="{FF2B5EF4-FFF2-40B4-BE49-F238E27FC236}">
              <a16:creationId xmlns:a16="http://schemas.microsoft.com/office/drawing/2014/main" id="{70FCEF68-1779-4336-BF62-C48CAC09BCE6}"/>
            </a:ext>
          </a:extLst>
        </xdr:cNvPr>
        <xdr:cNvCxnSpPr>
          <a:stCxn id="21" idx="1"/>
        </xdr:cNvCxnSpPr>
      </xdr:nvCxnSpPr>
      <xdr:spPr>
        <a:xfrm flipH="1" flipV="1">
          <a:off x="7515225" y="8620125"/>
          <a:ext cx="647700" cy="4763"/>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164647</xdr:colOff>
      <xdr:row>54</xdr:row>
      <xdr:rowOff>27215</xdr:rowOff>
    </xdr:from>
    <xdr:to>
      <xdr:col>10</xdr:col>
      <xdr:colOff>631372</xdr:colOff>
      <xdr:row>64</xdr:row>
      <xdr:rowOff>66617</xdr:rowOff>
    </xdr:to>
    <xdr:pic>
      <xdr:nvPicPr>
        <xdr:cNvPr id="26" name="Picture 25">
          <a:extLst>
            <a:ext uri="{FF2B5EF4-FFF2-40B4-BE49-F238E27FC236}">
              <a16:creationId xmlns:a16="http://schemas.microsoft.com/office/drawing/2014/main" id="{8E33BC35-EE22-4061-8847-2627B46693F7}"/>
            </a:ext>
          </a:extLst>
        </xdr:cNvPr>
        <xdr:cNvPicPr>
          <a:picLocks noChangeAspect="1"/>
        </xdr:cNvPicPr>
      </xdr:nvPicPr>
      <xdr:blipFill>
        <a:blip xmlns:r="http://schemas.openxmlformats.org/officeDocument/2006/relationships" r:embed="rId6"/>
        <a:stretch>
          <a:fillRect/>
        </a:stretch>
      </xdr:blipFill>
      <xdr:spPr>
        <a:xfrm>
          <a:off x="9090933" y="10178144"/>
          <a:ext cx="2154010" cy="1944402"/>
        </a:xfrm>
        <a:prstGeom prst="rect">
          <a:avLst/>
        </a:prstGeom>
      </xdr:spPr>
    </xdr:pic>
    <xdr:clientData/>
  </xdr:twoCellAnchor>
  <xdr:twoCellAnchor>
    <xdr:from>
      <xdr:col>1</xdr:col>
      <xdr:colOff>17319</xdr:colOff>
      <xdr:row>66</xdr:row>
      <xdr:rowOff>17318</xdr:rowOff>
    </xdr:from>
    <xdr:to>
      <xdr:col>10</xdr:col>
      <xdr:colOff>201706</xdr:colOff>
      <xdr:row>74</xdr:row>
      <xdr:rowOff>0</xdr:rowOff>
    </xdr:to>
    <xdr:grpSp>
      <xdr:nvGrpSpPr>
        <xdr:cNvPr id="30" name="Group 29">
          <a:extLst>
            <a:ext uri="{FF2B5EF4-FFF2-40B4-BE49-F238E27FC236}">
              <a16:creationId xmlns:a16="http://schemas.microsoft.com/office/drawing/2014/main" id="{65694E8B-18C2-4691-A7D0-B3B70115E834}"/>
            </a:ext>
          </a:extLst>
        </xdr:cNvPr>
        <xdr:cNvGrpSpPr/>
      </xdr:nvGrpSpPr>
      <xdr:grpSpPr>
        <a:xfrm>
          <a:off x="629640" y="12454247"/>
          <a:ext cx="10185637" cy="1125682"/>
          <a:chOff x="622437" y="12433436"/>
          <a:chExt cx="10224857" cy="1125682"/>
        </a:xfrm>
      </xdr:grpSpPr>
      <xdr:sp macro="" textlink="">
        <xdr:nvSpPr>
          <xdr:cNvPr id="24" name="Flowchart: Process 23">
            <a:extLst>
              <a:ext uri="{FF2B5EF4-FFF2-40B4-BE49-F238E27FC236}">
                <a16:creationId xmlns:a16="http://schemas.microsoft.com/office/drawing/2014/main" id="{52A105BA-A97A-4CA3-9789-2583B0597828}"/>
              </a:ext>
            </a:extLst>
          </xdr:cNvPr>
          <xdr:cNvSpPr/>
        </xdr:nvSpPr>
        <xdr:spPr>
          <a:xfrm>
            <a:off x="622437" y="12433436"/>
            <a:ext cx="6403651" cy="1125682"/>
          </a:xfrm>
          <a:prstGeom prst="flowChart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NZ" sz="1100"/>
          </a:p>
        </xdr:txBody>
      </xdr:sp>
      <xdr:sp macro="" textlink="">
        <xdr:nvSpPr>
          <xdr:cNvPr id="25" name="Speech Bubble: Rectangle 24">
            <a:extLst>
              <a:ext uri="{FF2B5EF4-FFF2-40B4-BE49-F238E27FC236}">
                <a16:creationId xmlns:a16="http://schemas.microsoft.com/office/drawing/2014/main" id="{56562D64-5204-4656-87E9-59DFD43043EE}"/>
              </a:ext>
            </a:extLst>
          </xdr:cNvPr>
          <xdr:cNvSpPr/>
        </xdr:nvSpPr>
        <xdr:spPr>
          <a:xfrm>
            <a:off x="7586382" y="12729882"/>
            <a:ext cx="3260912" cy="750795"/>
          </a:xfrm>
          <a:prstGeom prst="wedgeRectCallout">
            <a:avLst>
              <a:gd name="adj1" fmla="val -66749"/>
              <a:gd name="adj2" fmla="val -1398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t"/>
          <a:lstStyle/>
          <a:p>
            <a:r>
              <a:rPr lang="en-NZ" sz="1100">
                <a:solidFill>
                  <a:sysClr val="windowText" lastClr="000000"/>
                </a:solidFill>
                <a:effectLst/>
                <a:latin typeface="+mn-lt"/>
                <a:ea typeface="+mn-ea"/>
                <a:cs typeface="+mn-cs"/>
              </a:rPr>
              <a:t>This part of the calculation is applicable to only typical above ground cylindrical tank. For other type of tanks please ensure that the tank dimensions are satisfying the </a:t>
            </a:r>
            <a:r>
              <a:rPr lang="en-NZ" sz="1100" b="0">
                <a:solidFill>
                  <a:sysClr val="windowText" lastClr="000000"/>
                </a:solidFill>
                <a:effectLst/>
                <a:latin typeface="+mn-lt"/>
                <a:ea typeface="+mn-ea"/>
                <a:cs typeface="+mn-cs"/>
              </a:rPr>
              <a:t>required storage volume </a:t>
            </a:r>
            <a:r>
              <a:rPr lang="en-NZ" sz="1100" b="1">
                <a:solidFill>
                  <a:sysClr val="windowText" lastClr="000000"/>
                </a:solidFill>
                <a:effectLst/>
                <a:latin typeface="+mn-lt"/>
                <a:ea typeface="+mn-ea"/>
                <a:cs typeface="+mn-cs"/>
              </a:rPr>
              <a:t>(yellow cell)</a:t>
            </a:r>
            <a:endParaRPr lang="en-NZ" sz="1100">
              <a:solidFill>
                <a:sysClr val="windowText" lastClr="000000"/>
              </a:solidFill>
              <a:effectLst/>
              <a:latin typeface="+mn-lt"/>
              <a:ea typeface="+mn-ea"/>
              <a:cs typeface="+mn-cs"/>
            </a:endParaRPr>
          </a:p>
        </xdr:txBody>
      </xdr:sp>
      <xdr:sp macro="" textlink="">
        <xdr:nvSpPr>
          <xdr:cNvPr id="29" name="Speech Bubble: Rectangle 28">
            <a:extLst>
              <a:ext uri="{FF2B5EF4-FFF2-40B4-BE49-F238E27FC236}">
                <a16:creationId xmlns:a16="http://schemas.microsoft.com/office/drawing/2014/main" id="{75CC893C-0FBD-4D39-8B84-04364733552F}"/>
              </a:ext>
            </a:extLst>
          </xdr:cNvPr>
          <xdr:cNvSpPr/>
        </xdr:nvSpPr>
        <xdr:spPr>
          <a:xfrm>
            <a:off x="9323297" y="13245354"/>
            <a:ext cx="896471" cy="224117"/>
          </a:xfrm>
          <a:prstGeom prst="wedgeRectCallout">
            <a:avLst>
              <a:gd name="adj1" fmla="val -8006"/>
              <a:gd name="adj2" fmla="val 15581"/>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t"/>
          <a:lstStyle/>
          <a:p>
            <a:r>
              <a:rPr lang="en-NZ" sz="1100" b="1">
                <a:solidFill>
                  <a:sysClr val="windowText" lastClr="000000"/>
                </a:solidFill>
                <a:effectLst/>
                <a:latin typeface="+mn-lt"/>
                <a:ea typeface="+mn-ea"/>
                <a:cs typeface="+mn-cs"/>
              </a:rPr>
              <a:t>(yellow cell)</a:t>
            </a:r>
            <a:endParaRPr lang="en-NZ" sz="1100">
              <a:solidFill>
                <a:sysClr val="windowText" lastClr="000000"/>
              </a:solidFill>
              <a:effectLst/>
              <a:latin typeface="+mn-lt"/>
              <a:ea typeface="+mn-ea"/>
              <a:cs typeface="+mn-cs"/>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384784</xdr:colOff>
      <xdr:row>42</xdr:row>
      <xdr:rowOff>131149</xdr:rowOff>
    </xdr:from>
    <xdr:to>
      <xdr:col>16</xdr:col>
      <xdr:colOff>855926</xdr:colOff>
      <xdr:row>60</xdr:row>
      <xdr:rowOff>1008</xdr:rowOff>
    </xdr:to>
    <xdr:pic>
      <xdr:nvPicPr>
        <xdr:cNvPr id="2" name="Picture 1">
          <a:extLst>
            <a:ext uri="{FF2B5EF4-FFF2-40B4-BE49-F238E27FC236}">
              <a16:creationId xmlns:a16="http://schemas.microsoft.com/office/drawing/2014/main" id="{11905603-E7DB-44D0-A4B9-554BEC6347F3}"/>
            </a:ext>
          </a:extLst>
        </xdr:cNvPr>
        <xdr:cNvPicPr>
          <a:picLocks noChangeAspect="1"/>
        </xdr:cNvPicPr>
      </xdr:nvPicPr>
      <xdr:blipFill rotWithShape="1">
        <a:blip xmlns:r="http://schemas.openxmlformats.org/officeDocument/2006/relationships" r:embed="rId1"/>
        <a:srcRect r="12454"/>
        <a:stretch/>
      </xdr:blipFill>
      <xdr:spPr>
        <a:xfrm>
          <a:off x="11862409" y="7913074"/>
          <a:ext cx="4709767" cy="3327434"/>
        </a:xfrm>
        <a:prstGeom prst="rect">
          <a:avLst/>
        </a:prstGeom>
        <a:ln>
          <a:solidFill>
            <a:schemeClr val="tx1"/>
          </a:solidFill>
        </a:ln>
      </xdr:spPr>
    </xdr:pic>
    <xdr:clientData/>
  </xdr:twoCellAnchor>
  <xdr:twoCellAnchor editAs="oneCell">
    <xdr:from>
      <xdr:col>7</xdr:col>
      <xdr:colOff>68254</xdr:colOff>
      <xdr:row>25</xdr:row>
      <xdr:rowOff>71312</xdr:rowOff>
    </xdr:from>
    <xdr:to>
      <xdr:col>11</xdr:col>
      <xdr:colOff>190679</xdr:colOff>
      <xdr:row>33</xdr:row>
      <xdr:rowOff>134716</xdr:rowOff>
    </xdr:to>
    <xdr:pic>
      <xdr:nvPicPr>
        <xdr:cNvPr id="3" name="Picture 2">
          <a:extLst>
            <a:ext uri="{FF2B5EF4-FFF2-40B4-BE49-F238E27FC236}">
              <a16:creationId xmlns:a16="http://schemas.microsoft.com/office/drawing/2014/main" id="{B7374E2F-FF22-45D8-ADD8-CE475B39E834}"/>
            </a:ext>
          </a:extLst>
        </xdr:cNvPr>
        <xdr:cNvPicPr>
          <a:picLocks noChangeAspect="1"/>
        </xdr:cNvPicPr>
      </xdr:nvPicPr>
      <xdr:blipFill>
        <a:blip xmlns:r="http://schemas.openxmlformats.org/officeDocument/2006/relationships" r:embed="rId2"/>
        <a:stretch>
          <a:fillRect/>
        </a:stretch>
      </xdr:blipFill>
      <xdr:spPr>
        <a:xfrm>
          <a:off x="8154979" y="4986212"/>
          <a:ext cx="3513325" cy="1406429"/>
        </a:xfrm>
        <a:prstGeom prst="rect">
          <a:avLst/>
        </a:prstGeom>
        <a:ln>
          <a:solidFill>
            <a:sysClr val="windowText" lastClr="000000"/>
          </a:solidFill>
        </a:ln>
      </xdr:spPr>
    </xdr:pic>
    <xdr:clientData/>
  </xdr:twoCellAnchor>
  <xdr:twoCellAnchor editAs="oneCell">
    <xdr:from>
      <xdr:col>11</xdr:col>
      <xdr:colOff>297463</xdr:colOff>
      <xdr:row>25</xdr:row>
      <xdr:rowOff>67234</xdr:rowOff>
    </xdr:from>
    <xdr:to>
      <xdr:col>16</xdr:col>
      <xdr:colOff>783057</xdr:colOff>
      <xdr:row>40</xdr:row>
      <xdr:rowOff>84787</xdr:rowOff>
    </xdr:to>
    <xdr:pic>
      <xdr:nvPicPr>
        <xdr:cNvPr id="4" name="Picture 3">
          <a:extLst>
            <a:ext uri="{FF2B5EF4-FFF2-40B4-BE49-F238E27FC236}">
              <a16:creationId xmlns:a16="http://schemas.microsoft.com/office/drawing/2014/main" id="{DB27943D-1940-4BFD-88F3-80A99271E5CE}"/>
            </a:ext>
          </a:extLst>
        </xdr:cNvPr>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3030" r="6984" b="18729"/>
        <a:stretch/>
      </xdr:blipFill>
      <xdr:spPr bwMode="auto">
        <a:xfrm>
          <a:off x="11775088" y="4982134"/>
          <a:ext cx="4724219" cy="2503578"/>
        </a:xfrm>
        <a:prstGeom prst="rect">
          <a:avLst/>
        </a:prstGeom>
        <a:noFill/>
        <a:ln>
          <a:solidFill>
            <a:sysClr val="windowText" lastClr="000000"/>
          </a:solidFill>
        </a:ln>
        <a:extLst>
          <a:ext uri="{909E8E84-426E-40DD-AFC4-6F175D3DCCD1}">
            <a14:hiddenFill xmlns:a14="http://schemas.microsoft.com/office/drawing/2010/main">
              <a:solidFill>
                <a:srgbClr val="FFFFFF"/>
              </a:solidFill>
            </a14:hiddenFill>
          </a:ext>
        </a:extLst>
      </xdr:spPr>
    </xdr:pic>
    <xdr:clientData/>
  </xdr:twoCellAnchor>
  <xdr:twoCellAnchor>
    <xdr:from>
      <xdr:col>7</xdr:col>
      <xdr:colOff>776949</xdr:colOff>
      <xdr:row>36</xdr:row>
      <xdr:rowOff>144095</xdr:rowOff>
    </xdr:from>
    <xdr:to>
      <xdr:col>9</xdr:col>
      <xdr:colOff>799117</xdr:colOff>
      <xdr:row>43</xdr:row>
      <xdr:rowOff>80577</xdr:rowOff>
    </xdr:to>
    <xdr:pic>
      <xdr:nvPicPr>
        <xdr:cNvPr id="5" name="Picture 4">
          <a:extLst>
            <a:ext uri="{FF2B5EF4-FFF2-40B4-BE49-F238E27FC236}">
              <a16:creationId xmlns:a16="http://schemas.microsoft.com/office/drawing/2014/main" id="{B5FA4B3A-6EC5-4CD5-B843-208BB943C18E}"/>
            </a:ext>
          </a:extLst>
        </xdr:cNvPr>
        <xdr:cNvPicPr>
          <a:picLocks noChangeAspect="1"/>
        </xdr:cNvPicPr>
      </xdr:nvPicPr>
      <xdr:blipFill>
        <a:blip xmlns:r="http://schemas.openxmlformats.org/officeDocument/2006/relationships" r:embed="rId4"/>
        <a:stretch>
          <a:fillRect/>
        </a:stretch>
      </xdr:blipFill>
      <xdr:spPr>
        <a:xfrm>
          <a:off x="8863674" y="6783020"/>
          <a:ext cx="1717618" cy="1269982"/>
        </a:xfrm>
        <a:prstGeom prst="rect">
          <a:avLst/>
        </a:prstGeom>
      </xdr:spPr>
    </xdr:pic>
    <xdr:clientData/>
  </xdr:twoCellAnchor>
  <xdr:twoCellAnchor>
    <xdr:from>
      <xdr:col>6</xdr:col>
      <xdr:colOff>28575</xdr:colOff>
      <xdr:row>44</xdr:row>
      <xdr:rowOff>112059</xdr:rowOff>
    </xdr:from>
    <xdr:to>
      <xdr:col>9</xdr:col>
      <xdr:colOff>40020</xdr:colOff>
      <xdr:row>44</xdr:row>
      <xdr:rowOff>123825</xdr:rowOff>
    </xdr:to>
    <xdr:cxnSp macro="">
      <xdr:nvCxnSpPr>
        <xdr:cNvPr id="6" name="Straight Arrow Connector 5">
          <a:extLst>
            <a:ext uri="{FF2B5EF4-FFF2-40B4-BE49-F238E27FC236}">
              <a16:creationId xmlns:a16="http://schemas.microsoft.com/office/drawing/2014/main" id="{9E88DBC2-6727-4F68-8C0A-9BA4C939B26F}"/>
            </a:ext>
          </a:extLst>
        </xdr:cNvPr>
        <xdr:cNvCxnSpPr/>
      </xdr:nvCxnSpPr>
      <xdr:spPr>
        <a:xfrm flipH="1">
          <a:off x="7048500" y="8274984"/>
          <a:ext cx="2773695" cy="11766"/>
        </a:xfrm>
        <a:prstGeom prst="straightConnector1">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750795</xdr:colOff>
      <xdr:row>34</xdr:row>
      <xdr:rowOff>123265</xdr:rowOff>
    </xdr:from>
    <xdr:to>
      <xdr:col>11</xdr:col>
      <xdr:colOff>302559</xdr:colOff>
      <xdr:row>34</xdr:row>
      <xdr:rowOff>134472</xdr:rowOff>
    </xdr:to>
    <xdr:cxnSp macro="">
      <xdr:nvCxnSpPr>
        <xdr:cNvPr id="7" name="Straight Connector 6">
          <a:extLst>
            <a:ext uri="{FF2B5EF4-FFF2-40B4-BE49-F238E27FC236}">
              <a16:creationId xmlns:a16="http://schemas.microsoft.com/office/drawing/2014/main" id="{E2AD8F69-9081-4E46-AA67-9141809578A3}"/>
            </a:ext>
          </a:extLst>
        </xdr:cNvPr>
        <xdr:cNvCxnSpPr/>
      </xdr:nvCxnSpPr>
      <xdr:spPr>
        <a:xfrm>
          <a:off x="7770720" y="6571690"/>
          <a:ext cx="4009464" cy="11207"/>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67237</xdr:colOff>
      <xdr:row>27</xdr:row>
      <xdr:rowOff>223898</xdr:rowOff>
    </xdr:from>
    <xdr:to>
      <xdr:col>7</xdr:col>
      <xdr:colOff>68254</xdr:colOff>
      <xdr:row>28</xdr:row>
      <xdr:rowOff>78441</xdr:rowOff>
    </xdr:to>
    <xdr:cxnSp macro="">
      <xdr:nvCxnSpPr>
        <xdr:cNvPr id="8" name="Straight Arrow Connector 7">
          <a:extLst>
            <a:ext uri="{FF2B5EF4-FFF2-40B4-BE49-F238E27FC236}">
              <a16:creationId xmlns:a16="http://schemas.microsoft.com/office/drawing/2014/main" id="{A82EE889-7EAC-484B-BDE2-F3E54B6176A7}"/>
            </a:ext>
          </a:extLst>
        </xdr:cNvPr>
        <xdr:cNvCxnSpPr>
          <a:stCxn id="3" idx="1"/>
        </xdr:cNvCxnSpPr>
      </xdr:nvCxnSpPr>
      <xdr:spPr>
        <a:xfrm flipH="1">
          <a:off x="7087162" y="5681723"/>
          <a:ext cx="1067817" cy="83143"/>
        </a:xfrm>
        <a:prstGeom prst="straightConnector1">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22413</xdr:colOff>
      <xdr:row>27</xdr:row>
      <xdr:rowOff>223898</xdr:rowOff>
    </xdr:from>
    <xdr:to>
      <xdr:col>7</xdr:col>
      <xdr:colOff>68254</xdr:colOff>
      <xdr:row>30</xdr:row>
      <xdr:rowOff>56029</xdr:rowOff>
    </xdr:to>
    <xdr:cxnSp macro="">
      <xdr:nvCxnSpPr>
        <xdr:cNvPr id="9" name="Straight Arrow Connector 8">
          <a:extLst>
            <a:ext uri="{FF2B5EF4-FFF2-40B4-BE49-F238E27FC236}">
              <a16:creationId xmlns:a16="http://schemas.microsoft.com/office/drawing/2014/main" id="{8C176889-4286-4118-8EF2-FC10E769FF08}"/>
            </a:ext>
          </a:extLst>
        </xdr:cNvPr>
        <xdr:cNvCxnSpPr>
          <a:stCxn id="3" idx="1"/>
        </xdr:cNvCxnSpPr>
      </xdr:nvCxnSpPr>
      <xdr:spPr>
        <a:xfrm flipH="1">
          <a:off x="7042338" y="5681723"/>
          <a:ext cx="1112641" cy="441731"/>
        </a:xfrm>
        <a:prstGeom prst="straightConnector1">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9526</xdr:colOff>
      <xdr:row>55</xdr:row>
      <xdr:rowOff>76200</xdr:rowOff>
    </xdr:from>
    <xdr:to>
      <xdr:col>8</xdr:col>
      <xdr:colOff>457200</xdr:colOff>
      <xdr:row>55</xdr:row>
      <xdr:rowOff>93008</xdr:rowOff>
    </xdr:to>
    <xdr:cxnSp macro="">
      <xdr:nvCxnSpPr>
        <xdr:cNvPr id="10" name="Straight Arrow Connector 9">
          <a:extLst>
            <a:ext uri="{FF2B5EF4-FFF2-40B4-BE49-F238E27FC236}">
              <a16:creationId xmlns:a16="http://schemas.microsoft.com/office/drawing/2014/main" id="{A0A6CD05-F302-444A-BD76-E6D04E0467D7}"/>
            </a:ext>
          </a:extLst>
        </xdr:cNvPr>
        <xdr:cNvCxnSpPr/>
      </xdr:nvCxnSpPr>
      <xdr:spPr>
        <a:xfrm flipH="1">
          <a:off x="7029451" y="10363200"/>
          <a:ext cx="2362199" cy="16808"/>
        </a:xfrm>
        <a:prstGeom prst="straightConnector1">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44824</xdr:colOff>
      <xdr:row>59</xdr:row>
      <xdr:rowOff>88323</xdr:rowOff>
    </xdr:from>
    <xdr:to>
      <xdr:col>7</xdr:col>
      <xdr:colOff>329045</xdr:colOff>
      <xdr:row>59</xdr:row>
      <xdr:rowOff>91377</xdr:rowOff>
    </xdr:to>
    <xdr:cxnSp macro="">
      <xdr:nvCxnSpPr>
        <xdr:cNvPr id="11" name="Straight Arrow Connector 10">
          <a:extLst>
            <a:ext uri="{FF2B5EF4-FFF2-40B4-BE49-F238E27FC236}">
              <a16:creationId xmlns:a16="http://schemas.microsoft.com/office/drawing/2014/main" id="{21696288-94B7-4271-8614-D212F270F2E0}"/>
            </a:ext>
          </a:extLst>
        </xdr:cNvPr>
        <xdr:cNvCxnSpPr/>
      </xdr:nvCxnSpPr>
      <xdr:spPr>
        <a:xfrm flipH="1">
          <a:off x="7064749" y="11137323"/>
          <a:ext cx="1351021" cy="3054"/>
        </a:xfrm>
        <a:prstGeom prst="straightConnector1">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24009</xdr:colOff>
      <xdr:row>43</xdr:row>
      <xdr:rowOff>78439</xdr:rowOff>
    </xdr:from>
    <xdr:to>
      <xdr:col>9</xdr:col>
      <xdr:colOff>24009</xdr:colOff>
      <xdr:row>44</xdr:row>
      <xdr:rowOff>123262</xdr:rowOff>
    </xdr:to>
    <xdr:cxnSp macro="">
      <xdr:nvCxnSpPr>
        <xdr:cNvPr id="12" name="Straight Connector 11">
          <a:extLst>
            <a:ext uri="{FF2B5EF4-FFF2-40B4-BE49-F238E27FC236}">
              <a16:creationId xmlns:a16="http://schemas.microsoft.com/office/drawing/2014/main" id="{E95DEAA7-C158-48B7-9F84-7A9C1C927860}"/>
            </a:ext>
          </a:extLst>
        </xdr:cNvPr>
        <xdr:cNvCxnSpPr/>
      </xdr:nvCxnSpPr>
      <xdr:spPr>
        <a:xfrm flipV="1">
          <a:off x="9806184" y="8050864"/>
          <a:ext cx="0" cy="235323"/>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33619</xdr:colOff>
      <xdr:row>42</xdr:row>
      <xdr:rowOff>78443</xdr:rowOff>
    </xdr:from>
    <xdr:to>
      <xdr:col>6</xdr:col>
      <xdr:colOff>750795</xdr:colOff>
      <xdr:row>42</xdr:row>
      <xdr:rowOff>78443</xdr:rowOff>
    </xdr:to>
    <xdr:cxnSp macro="">
      <xdr:nvCxnSpPr>
        <xdr:cNvPr id="13" name="Straight Arrow Connector 12">
          <a:extLst>
            <a:ext uri="{FF2B5EF4-FFF2-40B4-BE49-F238E27FC236}">
              <a16:creationId xmlns:a16="http://schemas.microsoft.com/office/drawing/2014/main" id="{521EBAEA-8204-4B01-B48E-14B99F099441}"/>
            </a:ext>
          </a:extLst>
        </xdr:cNvPr>
        <xdr:cNvCxnSpPr/>
      </xdr:nvCxnSpPr>
      <xdr:spPr>
        <a:xfrm flipH="1">
          <a:off x="7053544" y="7860368"/>
          <a:ext cx="717176" cy="0"/>
        </a:xfrm>
        <a:prstGeom prst="straightConnector1">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750795</xdr:colOff>
      <xdr:row>34</xdr:row>
      <xdr:rowOff>134473</xdr:rowOff>
    </xdr:from>
    <xdr:to>
      <xdr:col>6</xdr:col>
      <xdr:colOff>750796</xdr:colOff>
      <xdr:row>42</xdr:row>
      <xdr:rowOff>67235</xdr:rowOff>
    </xdr:to>
    <xdr:cxnSp macro="">
      <xdr:nvCxnSpPr>
        <xdr:cNvPr id="14" name="Straight Connector 13">
          <a:extLst>
            <a:ext uri="{FF2B5EF4-FFF2-40B4-BE49-F238E27FC236}">
              <a16:creationId xmlns:a16="http://schemas.microsoft.com/office/drawing/2014/main" id="{723ECC9A-150D-459B-B650-43FE01C4FAB5}"/>
            </a:ext>
          </a:extLst>
        </xdr:cNvPr>
        <xdr:cNvCxnSpPr/>
      </xdr:nvCxnSpPr>
      <xdr:spPr>
        <a:xfrm flipV="1">
          <a:off x="7770720" y="6582898"/>
          <a:ext cx="1" cy="1266262"/>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114300</xdr:colOff>
      <xdr:row>66</xdr:row>
      <xdr:rowOff>123825</xdr:rowOff>
    </xdr:from>
    <xdr:to>
      <xdr:col>8</xdr:col>
      <xdr:colOff>19050</xdr:colOff>
      <xdr:row>66</xdr:row>
      <xdr:rowOff>123825</xdr:rowOff>
    </xdr:to>
    <xdr:cxnSp macro="">
      <xdr:nvCxnSpPr>
        <xdr:cNvPr id="15" name="Straight Arrow Connector 14">
          <a:extLst>
            <a:ext uri="{FF2B5EF4-FFF2-40B4-BE49-F238E27FC236}">
              <a16:creationId xmlns:a16="http://schemas.microsoft.com/office/drawing/2014/main" id="{A2A01F99-3700-40BC-8E10-33723184E67C}"/>
            </a:ext>
          </a:extLst>
        </xdr:cNvPr>
        <xdr:cNvCxnSpPr/>
      </xdr:nvCxnSpPr>
      <xdr:spPr>
        <a:xfrm flipH="1">
          <a:off x="8201025" y="12506325"/>
          <a:ext cx="752475" cy="0"/>
        </a:xfrm>
        <a:prstGeom prst="straightConnector1">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55</xdr:row>
      <xdr:rowOff>76200</xdr:rowOff>
    </xdr:from>
    <xdr:to>
      <xdr:col>8</xdr:col>
      <xdr:colOff>9525</xdr:colOff>
      <xdr:row>66</xdr:row>
      <xdr:rowOff>142876</xdr:rowOff>
    </xdr:to>
    <xdr:cxnSp macro="">
      <xdr:nvCxnSpPr>
        <xdr:cNvPr id="16" name="Straight Connector 15">
          <a:extLst>
            <a:ext uri="{FF2B5EF4-FFF2-40B4-BE49-F238E27FC236}">
              <a16:creationId xmlns:a16="http://schemas.microsoft.com/office/drawing/2014/main" id="{6EFC5895-E384-45E4-B1EA-B4605AEBF14B}"/>
            </a:ext>
          </a:extLst>
        </xdr:cNvPr>
        <xdr:cNvCxnSpPr/>
      </xdr:nvCxnSpPr>
      <xdr:spPr>
        <a:xfrm flipH="1" flipV="1">
          <a:off x="8934450" y="10363200"/>
          <a:ext cx="9525" cy="2162176"/>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314325</xdr:colOff>
      <xdr:row>47</xdr:row>
      <xdr:rowOff>186420</xdr:rowOff>
    </xdr:from>
    <xdr:to>
      <xdr:col>11</xdr:col>
      <xdr:colOff>400050</xdr:colOff>
      <xdr:row>48</xdr:row>
      <xdr:rowOff>5445</xdr:rowOff>
    </xdr:to>
    <xdr:cxnSp macro="">
      <xdr:nvCxnSpPr>
        <xdr:cNvPr id="17" name="Straight Connector 16">
          <a:extLst>
            <a:ext uri="{FF2B5EF4-FFF2-40B4-BE49-F238E27FC236}">
              <a16:creationId xmlns:a16="http://schemas.microsoft.com/office/drawing/2014/main" id="{2D8B1B29-62CE-4151-9BC5-B8F454C1297A}"/>
            </a:ext>
          </a:extLst>
        </xdr:cNvPr>
        <xdr:cNvCxnSpPr/>
      </xdr:nvCxnSpPr>
      <xdr:spPr>
        <a:xfrm flipH="1">
          <a:off x="8401050" y="8949420"/>
          <a:ext cx="3476625" cy="9525"/>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311729</xdr:colOff>
      <xdr:row>48</xdr:row>
      <xdr:rowOff>0</xdr:rowOff>
    </xdr:from>
    <xdr:to>
      <xdr:col>7</xdr:col>
      <xdr:colOff>326571</xdr:colOff>
      <xdr:row>59</xdr:row>
      <xdr:rowOff>104928</xdr:rowOff>
    </xdr:to>
    <xdr:cxnSp macro="">
      <xdr:nvCxnSpPr>
        <xdr:cNvPr id="18" name="Straight Connector 17">
          <a:extLst>
            <a:ext uri="{FF2B5EF4-FFF2-40B4-BE49-F238E27FC236}">
              <a16:creationId xmlns:a16="http://schemas.microsoft.com/office/drawing/2014/main" id="{77551E31-3143-474C-B4AC-FAAAA16131E7}"/>
            </a:ext>
          </a:extLst>
        </xdr:cNvPr>
        <xdr:cNvCxnSpPr/>
      </xdr:nvCxnSpPr>
      <xdr:spPr>
        <a:xfrm flipV="1">
          <a:off x="8398454" y="8953500"/>
          <a:ext cx="14842" cy="2200428"/>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20</xdr:col>
      <xdr:colOff>86591</xdr:colOff>
      <xdr:row>5</xdr:row>
      <xdr:rowOff>86591</xdr:rowOff>
    </xdr:from>
    <xdr:to>
      <xdr:col>45</xdr:col>
      <xdr:colOff>468447</xdr:colOff>
      <xdr:row>59</xdr:row>
      <xdr:rowOff>173181</xdr:rowOff>
    </xdr:to>
    <xdr:pic>
      <xdr:nvPicPr>
        <xdr:cNvPr id="19" name="Picture 18">
          <a:extLst>
            <a:ext uri="{FF2B5EF4-FFF2-40B4-BE49-F238E27FC236}">
              <a16:creationId xmlns:a16="http://schemas.microsoft.com/office/drawing/2014/main" id="{728D7AC1-1A00-4E4E-BD9D-C26300A383FF}"/>
            </a:ext>
          </a:extLst>
        </xdr:cNvPr>
        <xdr:cNvPicPr>
          <a:picLocks noChangeAspect="1"/>
        </xdr:cNvPicPr>
      </xdr:nvPicPr>
      <xdr:blipFill>
        <a:blip xmlns:r="http://schemas.openxmlformats.org/officeDocument/2006/relationships" r:embed="rId5"/>
        <a:stretch>
          <a:fillRect/>
        </a:stretch>
      </xdr:blipFill>
      <xdr:spPr>
        <a:xfrm>
          <a:off x="17469716" y="1058141"/>
          <a:ext cx="15850456" cy="10164040"/>
        </a:xfrm>
        <a:prstGeom prst="rect">
          <a:avLst/>
        </a:prstGeom>
      </xdr:spPr>
    </xdr:pic>
    <xdr:clientData/>
  </xdr:twoCellAnchor>
  <xdr:twoCellAnchor>
    <xdr:from>
      <xdr:col>5</xdr:col>
      <xdr:colOff>1273550</xdr:colOff>
      <xdr:row>49</xdr:row>
      <xdr:rowOff>110427</xdr:rowOff>
    </xdr:from>
    <xdr:to>
      <xdr:col>6</xdr:col>
      <xdr:colOff>476250</xdr:colOff>
      <xdr:row>49</xdr:row>
      <xdr:rowOff>114300</xdr:rowOff>
    </xdr:to>
    <xdr:cxnSp macro="">
      <xdr:nvCxnSpPr>
        <xdr:cNvPr id="20" name="Straight Arrow Connector 19">
          <a:extLst>
            <a:ext uri="{FF2B5EF4-FFF2-40B4-BE49-F238E27FC236}">
              <a16:creationId xmlns:a16="http://schemas.microsoft.com/office/drawing/2014/main" id="{FA84C4FF-DD9C-4219-B7F7-E333F6B2EFC4}"/>
            </a:ext>
          </a:extLst>
        </xdr:cNvPr>
        <xdr:cNvCxnSpPr/>
      </xdr:nvCxnSpPr>
      <xdr:spPr>
        <a:xfrm flipH="1" flipV="1">
          <a:off x="7017125" y="9254427"/>
          <a:ext cx="479050" cy="3873"/>
        </a:xfrm>
        <a:prstGeom prst="straightConnector1">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76200</xdr:colOff>
      <xdr:row>45</xdr:row>
      <xdr:rowOff>38100</xdr:rowOff>
    </xdr:from>
    <xdr:to>
      <xdr:col>11</xdr:col>
      <xdr:colOff>66675</xdr:colOff>
      <xdr:row>47</xdr:row>
      <xdr:rowOff>95250</xdr:rowOff>
    </xdr:to>
    <xdr:sp macro="" textlink="">
      <xdr:nvSpPr>
        <xdr:cNvPr id="21" name="TextBox 20">
          <a:extLst>
            <a:ext uri="{FF2B5EF4-FFF2-40B4-BE49-F238E27FC236}">
              <a16:creationId xmlns:a16="http://schemas.microsoft.com/office/drawing/2014/main" id="{AAADA77A-5DBE-472C-B713-A6661091D69C}"/>
            </a:ext>
          </a:extLst>
        </xdr:cNvPr>
        <xdr:cNvSpPr txBox="1"/>
      </xdr:nvSpPr>
      <xdr:spPr>
        <a:xfrm>
          <a:off x="8162925" y="8391525"/>
          <a:ext cx="3381375" cy="466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NZ" sz="1100"/>
            <a:t>For Hanmer Southern</a:t>
          </a:r>
          <a:r>
            <a:rPr lang="en-NZ" sz="1100" baseline="0"/>
            <a:t> Flats use 80. For all other areas use 100.</a:t>
          </a:r>
          <a:endParaRPr lang="en-NZ" sz="1100"/>
        </a:p>
      </xdr:txBody>
    </xdr:sp>
    <xdr:clientData/>
  </xdr:twoCellAnchor>
  <xdr:twoCellAnchor>
    <xdr:from>
      <xdr:col>6</xdr:col>
      <xdr:colOff>495300</xdr:colOff>
      <xdr:row>46</xdr:row>
      <xdr:rowOff>47625</xdr:rowOff>
    </xdr:from>
    <xdr:to>
      <xdr:col>6</xdr:col>
      <xdr:colOff>504825</xdr:colOff>
      <xdr:row>49</xdr:row>
      <xdr:rowOff>114301</xdr:rowOff>
    </xdr:to>
    <xdr:cxnSp macro="">
      <xdr:nvCxnSpPr>
        <xdr:cNvPr id="22" name="Straight Connector 21">
          <a:extLst>
            <a:ext uri="{FF2B5EF4-FFF2-40B4-BE49-F238E27FC236}">
              <a16:creationId xmlns:a16="http://schemas.microsoft.com/office/drawing/2014/main" id="{49188B70-2D66-4AA7-BAE7-A3562B71A4B2}"/>
            </a:ext>
          </a:extLst>
        </xdr:cNvPr>
        <xdr:cNvCxnSpPr/>
      </xdr:nvCxnSpPr>
      <xdr:spPr>
        <a:xfrm flipV="1">
          <a:off x="7515225" y="8591550"/>
          <a:ext cx="9525" cy="666751"/>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495300</xdr:colOff>
      <xdr:row>46</xdr:row>
      <xdr:rowOff>76200</xdr:rowOff>
    </xdr:from>
    <xdr:to>
      <xdr:col>7</xdr:col>
      <xdr:colOff>76200</xdr:colOff>
      <xdr:row>46</xdr:row>
      <xdr:rowOff>80963</xdr:rowOff>
    </xdr:to>
    <xdr:cxnSp macro="">
      <xdr:nvCxnSpPr>
        <xdr:cNvPr id="23" name="Straight Connector 22">
          <a:extLst>
            <a:ext uri="{FF2B5EF4-FFF2-40B4-BE49-F238E27FC236}">
              <a16:creationId xmlns:a16="http://schemas.microsoft.com/office/drawing/2014/main" id="{25998B0D-6F79-4ACB-82AC-5801FA9A8BBE}"/>
            </a:ext>
          </a:extLst>
        </xdr:cNvPr>
        <xdr:cNvCxnSpPr>
          <a:stCxn id="21" idx="1"/>
        </xdr:cNvCxnSpPr>
      </xdr:nvCxnSpPr>
      <xdr:spPr>
        <a:xfrm flipH="1" flipV="1">
          <a:off x="7515225" y="8620125"/>
          <a:ext cx="647700" cy="4763"/>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219075</xdr:colOff>
      <xdr:row>52</xdr:row>
      <xdr:rowOff>95250</xdr:rowOff>
    </xdr:from>
    <xdr:to>
      <xdr:col>10</xdr:col>
      <xdr:colOff>685800</xdr:colOff>
      <xdr:row>62</xdr:row>
      <xdr:rowOff>134652</xdr:rowOff>
    </xdr:to>
    <xdr:pic>
      <xdr:nvPicPr>
        <xdr:cNvPr id="24" name="Picture 23">
          <a:extLst>
            <a:ext uri="{FF2B5EF4-FFF2-40B4-BE49-F238E27FC236}">
              <a16:creationId xmlns:a16="http://schemas.microsoft.com/office/drawing/2014/main" id="{90C59B96-2901-49F0-836E-36E106D3204D}"/>
            </a:ext>
          </a:extLst>
        </xdr:cNvPr>
        <xdr:cNvPicPr>
          <a:picLocks noChangeAspect="1"/>
        </xdr:cNvPicPr>
      </xdr:nvPicPr>
      <xdr:blipFill>
        <a:blip xmlns:r="http://schemas.openxmlformats.org/officeDocument/2006/relationships" r:embed="rId6"/>
        <a:stretch>
          <a:fillRect/>
        </a:stretch>
      </xdr:blipFill>
      <xdr:spPr>
        <a:xfrm>
          <a:off x="9153525" y="9810750"/>
          <a:ext cx="2162175" cy="1944402"/>
        </a:xfrm>
        <a:prstGeom prst="rect">
          <a:avLst/>
        </a:prstGeom>
      </xdr:spPr>
    </xdr:pic>
    <xdr:clientData/>
  </xdr:twoCellAnchor>
  <xdr:twoCellAnchor>
    <xdr:from>
      <xdr:col>1</xdr:col>
      <xdr:colOff>17319</xdr:colOff>
      <xdr:row>66</xdr:row>
      <xdr:rowOff>17318</xdr:rowOff>
    </xdr:from>
    <xdr:to>
      <xdr:col>10</xdr:col>
      <xdr:colOff>201706</xdr:colOff>
      <xdr:row>74</xdr:row>
      <xdr:rowOff>0</xdr:rowOff>
    </xdr:to>
    <xdr:grpSp>
      <xdr:nvGrpSpPr>
        <xdr:cNvPr id="25" name="Group 24">
          <a:extLst>
            <a:ext uri="{FF2B5EF4-FFF2-40B4-BE49-F238E27FC236}">
              <a16:creationId xmlns:a16="http://schemas.microsoft.com/office/drawing/2014/main" id="{648DCB39-17B0-4687-AEC8-DA2283DFE4C8}"/>
            </a:ext>
          </a:extLst>
        </xdr:cNvPr>
        <xdr:cNvGrpSpPr/>
      </xdr:nvGrpSpPr>
      <xdr:grpSpPr>
        <a:xfrm>
          <a:off x="623455" y="12521045"/>
          <a:ext cx="10228933" cy="1125682"/>
          <a:chOff x="622437" y="12433436"/>
          <a:chExt cx="10224857" cy="1125682"/>
        </a:xfrm>
      </xdr:grpSpPr>
      <xdr:sp macro="" textlink="">
        <xdr:nvSpPr>
          <xdr:cNvPr id="26" name="Flowchart: Process 25">
            <a:extLst>
              <a:ext uri="{FF2B5EF4-FFF2-40B4-BE49-F238E27FC236}">
                <a16:creationId xmlns:a16="http://schemas.microsoft.com/office/drawing/2014/main" id="{DD774C25-7C1C-4A90-BA19-99301B374101}"/>
              </a:ext>
            </a:extLst>
          </xdr:cNvPr>
          <xdr:cNvSpPr/>
        </xdr:nvSpPr>
        <xdr:spPr>
          <a:xfrm>
            <a:off x="622437" y="12433436"/>
            <a:ext cx="6403651" cy="1125682"/>
          </a:xfrm>
          <a:prstGeom prst="flowChart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NZ" sz="1100"/>
          </a:p>
        </xdr:txBody>
      </xdr:sp>
      <xdr:sp macro="" textlink="">
        <xdr:nvSpPr>
          <xdr:cNvPr id="27" name="Speech Bubble: Rectangle 26">
            <a:extLst>
              <a:ext uri="{FF2B5EF4-FFF2-40B4-BE49-F238E27FC236}">
                <a16:creationId xmlns:a16="http://schemas.microsoft.com/office/drawing/2014/main" id="{02B63384-F2C5-4058-AADF-0F064E7CF961}"/>
              </a:ext>
            </a:extLst>
          </xdr:cNvPr>
          <xdr:cNvSpPr/>
        </xdr:nvSpPr>
        <xdr:spPr>
          <a:xfrm>
            <a:off x="7586382" y="12729882"/>
            <a:ext cx="3260912" cy="750795"/>
          </a:xfrm>
          <a:prstGeom prst="wedgeRectCallout">
            <a:avLst>
              <a:gd name="adj1" fmla="val -66749"/>
              <a:gd name="adj2" fmla="val -1398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t"/>
          <a:lstStyle/>
          <a:p>
            <a:r>
              <a:rPr lang="en-NZ" sz="1100">
                <a:solidFill>
                  <a:sysClr val="windowText" lastClr="000000"/>
                </a:solidFill>
                <a:effectLst/>
                <a:latin typeface="+mn-lt"/>
                <a:ea typeface="+mn-ea"/>
                <a:cs typeface="+mn-cs"/>
              </a:rPr>
              <a:t>This part of the calculation is applicable to only typical above ground cylindrical tank. For other type of tanks please ensure that the tank dimensions are satisfying the </a:t>
            </a:r>
            <a:r>
              <a:rPr lang="en-NZ" sz="1100" b="0">
                <a:solidFill>
                  <a:sysClr val="windowText" lastClr="000000"/>
                </a:solidFill>
                <a:effectLst/>
                <a:latin typeface="+mn-lt"/>
                <a:ea typeface="+mn-ea"/>
                <a:cs typeface="+mn-cs"/>
              </a:rPr>
              <a:t>required storage volume </a:t>
            </a:r>
            <a:r>
              <a:rPr lang="en-NZ" sz="1100" b="1">
                <a:solidFill>
                  <a:sysClr val="windowText" lastClr="000000"/>
                </a:solidFill>
                <a:effectLst/>
                <a:latin typeface="+mn-lt"/>
                <a:ea typeface="+mn-ea"/>
                <a:cs typeface="+mn-cs"/>
              </a:rPr>
              <a:t>(yellow cell)</a:t>
            </a:r>
            <a:endParaRPr lang="en-NZ" sz="1100">
              <a:solidFill>
                <a:sysClr val="windowText" lastClr="000000"/>
              </a:solidFill>
              <a:effectLst/>
              <a:latin typeface="+mn-lt"/>
              <a:ea typeface="+mn-ea"/>
              <a:cs typeface="+mn-cs"/>
            </a:endParaRPr>
          </a:p>
        </xdr:txBody>
      </xdr:sp>
      <xdr:sp macro="" textlink="">
        <xdr:nvSpPr>
          <xdr:cNvPr id="28" name="Speech Bubble: Rectangle 27">
            <a:extLst>
              <a:ext uri="{FF2B5EF4-FFF2-40B4-BE49-F238E27FC236}">
                <a16:creationId xmlns:a16="http://schemas.microsoft.com/office/drawing/2014/main" id="{19B3485B-E6E6-44BE-B575-5F9A6890D136}"/>
              </a:ext>
            </a:extLst>
          </xdr:cNvPr>
          <xdr:cNvSpPr/>
        </xdr:nvSpPr>
        <xdr:spPr>
          <a:xfrm>
            <a:off x="9323297" y="13245354"/>
            <a:ext cx="896471" cy="224117"/>
          </a:xfrm>
          <a:prstGeom prst="wedgeRectCallout">
            <a:avLst>
              <a:gd name="adj1" fmla="val -8006"/>
              <a:gd name="adj2" fmla="val 15581"/>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t"/>
          <a:lstStyle/>
          <a:p>
            <a:r>
              <a:rPr lang="en-NZ" sz="1100" b="1">
                <a:solidFill>
                  <a:sysClr val="windowText" lastClr="000000"/>
                </a:solidFill>
                <a:effectLst/>
                <a:latin typeface="+mn-lt"/>
                <a:ea typeface="+mn-ea"/>
                <a:cs typeface="+mn-cs"/>
              </a:rPr>
              <a:t>(yellow cell)</a:t>
            </a:r>
            <a:endParaRPr lang="en-NZ" sz="1100">
              <a:solidFill>
                <a:sysClr val="windowText" lastClr="000000"/>
              </a:solidFill>
              <a:effectLst/>
              <a:latin typeface="+mn-lt"/>
              <a:ea typeface="+mn-ea"/>
              <a:cs typeface="+mn-cs"/>
            </a:endParaRPr>
          </a:p>
        </xdr:txBody>
      </xdr:sp>
    </xdr:grpSp>
    <xdr:clientData/>
  </xdr:twoCellAnchor>
</xdr:wsDr>
</file>

<file path=xl/persons/person.xml><?xml version="1.0" encoding="utf-8"?>
<personList xmlns="http://schemas.microsoft.com/office/spreadsheetml/2018/threadedcomments" xmlns:x="http://schemas.openxmlformats.org/spreadsheetml/2006/main">
  <person displayName="Asif Reza" id="{6CB00DD7-272E-4B61-9999-5EA6F4545758}" userId="S::Asif.Reza@hurunui.govt.nz::4ecc3bd6-c6fb-4f97-9efe-34b5e87801e9"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BE7518E-09AC-4087-8450-5E1B9C7F207B}" name="Table442432" displayName="Table442432" ref="B25:E51" totalsRowShown="0">
  <tableColumns count="4">
    <tableColumn id="1" xr3:uid="{0681E0DC-78E2-4160-9293-7CD8A797A524}" name="Column1"/>
    <tableColumn id="2" xr3:uid="{9EF9FBB9-B018-490C-958A-F7A6268801B7}" name="Column2"/>
    <tableColumn id="3" xr3:uid="{2F67C40D-40C6-47B4-8AF4-BE5A57E68C12}" name="Column3"/>
    <tableColumn id="4" xr3:uid="{B2478B0E-EDEC-4D1A-9C05-BD6286E7B3EF}" name="Column4"/>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BAA0EF0-C88C-4B1F-B4E7-06955B925B82}" name="Table4424324" displayName="Table4424324" ref="B25:E51" totalsRowShown="0">
  <tableColumns count="4">
    <tableColumn id="1" xr3:uid="{BBA41357-CF94-4BCA-ADE1-A60877EA30C0}" name="Column1"/>
    <tableColumn id="2" xr3:uid="{DEC298B9-6546-45ED-B0F9-D7372D280861}" name="Column2"/>
    <tableColumn id="3" xr3:uid="{AB6709E2-39CC-4C37-BDAD-D7F45E41122B}" name="Column3"/>
    <tableColumn id="4" xr3:uid="{AB988198-FB7D-40DF-BE47-6BCE3A5D7A05}" name="Column4"/>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F31" dT="2021-02-25T23:49:37.42" personId="{6CB00DD7-272E-4B61-9999-5EA6F4545758}" id="{99C83BB4-5493-4A79-9B59-D19E1ADFBCEB}">
    <text>Non permeable area</text>
  </threadedComment>
</ThreadedComments>
</file>

<file path=xl/threadedComments/threadedComment2.xml><?xml version="1.0" encoding="utf-8"?>
<ThreadedComments xmlns="http://schemas.microsoft.com/office/spreadsheetml/2018/threadedcomments" xmlns:x="http://schemas.openxmlformats.org/spreadsheetml/2006/main">
  <threadedComment ref="F31" dT="2021-02-25T23:49:37.42" personId="{6CB00DD7-272E-4B61-9999-5EA6F4545758}" id="{9C21DF1F-FA9A-4BE7-AE89-714BD4B71E81}">
    <text>Non permeable area</text>
  </threadedComment>
  <threadedComment ref="K53" dT="2021-02-26T00:05:14.17" personId="{6CB00DD7-272E-4B61-9999-5EA6F4545758}" id="{F3157E67-6E99-4418-8C82-224DC213271C}">
    <text>use actual sizes supplied by mancf.</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7" Type="http://schemas.microsoft.com/office/2017/10/relationships/threadedComment" Target="../threadedComments/threadedComment1.xml"/><Relationship Id="rId2" Type="http://schemas.openxmlformats.org/officeDocument/2006/relationships/printerSettings" Target="../printerSettings/printerSettings1.bin"/><Relationship Id="rId1" Type="http://schemas.openxmlformats.org/officeDocument/2006/relationships/hyperlink" Target="https://hirds.niwa.co.nz/" TargetMode="External"/><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7" Type="http://schemas.microsoft.com/office/2017/10/relationships/threadedComment" Target="../threadedComments/threadedComment2.xml"/><Relationship Id="rId2" Type="http://schemas.openxmlformats.org/officeDocument/2006/relationships/printerSettings" Target="../printerSettings/printerSettings2.bin"/><Relationship Id="rId1" Type="http://schemas.openxmlformats.org/officeDocument/2006/relationships/hyperlink" Target="https://hirds.niwa.co.nz/" TargetMode="External"/><Relationship Id="rId6" Type="http://schemas.openxmlformats.org/officeDocument/2006/relationships/comments" Target="../comments2.xml"/><Relationship Id="rId5" Type="http://schemas.openxmlformats.org/officeDocument/2006/relationships/table" Target="../tables/table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A357DC-9BB8-4A64-924F-7CA2E4EE7B61}">
  <sheetPr>
    <pageSetUpPr fitToPage="1"/>
  </sheetPr>
  <dimension ref="A4:T127"/>
  <sheetViews>
    <sheetView tabSelected="1" topLeftCell="A25" zoomScale="70" zoomScaleNormal="70" zoomScaleSheetLayoutView="70" zoomScalePageLayoutView="70" workbookViewId="0">
      <selection activeCell="AA73" sqref="AA73"/>
    </sheetView>
  </sheetViews>
  <sheetFormatPr defaultRowHeight="15" x14ac:dyDescent="0.25"/>
  <cols>
    <col min="1" max="1" width="9.140625" style="2"/>
    <col min="2" max="2" width="50.85546875" customWidth="1"/>
    <col min="3" max="3" width="13.42578125" customWidth="1"/>
    <col min="4" max="4" width="31.42578125" hidden="1" customWidth="1"/>
    <col min="5" max="5" width="12.7109375" customWidth="1"/>
    <col min="6" max="6" width="19.140625" style="1" customWidth="1"/>
    <col min="7" max="7" width="16" style="1" bestFit="1" customWidth="1"/>
    <col min="8" max="8" width="12.7109375" style="1" customWidth="1"/>
    <col min="9" max="16" width="12.7109375" customWidth="1"/>
    <col min="17" max="17" width="14.28515625" customWidth="1"/>
    <col min="18" max="18" width="10.7109375" customWidth="1"/>
    <col min="19" max="19" width="34.42578125" hidden="1" customWidth="1"/>
    <col min="20" max="20" width="9.140625" hidden="1" customWidth="1"/>
    <col min="21" max="21" width="12.5703125" bestFit="1" customWidth="1"/>
  </cols>
  <sheetData>
    <row r="4" spans="2:18" ht="15.75" x14ac:dyDescent="0.25">
      <c r="B4" s="64"/>
      <c r="C4" s="65" t="s">
        <v>112</v>
      </c>
      <c r="E4" t="s">
        <v>113</v>
      </c>
      <c r="F4" s="121">
        <v>44788</v>
      </c>
      <c r="G4" s="122"/>
      <c r="H4" s="122"/>
      <c r="I4" s="122"/>
      <c r="J4" s="122"/>
      <c r="K4" s="123"/>
    </row>
    <row r="5" spans="2:18" ht="15.75" x14ac:dyDescent="0.25">
      <c r="B5" s="68"/>
      <c r="C5" s="65" t="s">
        <v>114</v>
      </c>
      <c r="E5" t="s">
        <v>115</v>
      </c>
      <c r="F5" s="121" t="s">
        <v>159</v>
      </c>
      <c r="G5" s="122"/>
      <c r="H5" s="122"/>
      <c r="I5" s="122"/>
      <c r="J5" s="122"/>
      <c r="K5" s="123"/>
    </row>
    <row r="7" spans="2:18" x14ac:dyDescent="0.25">
      <c r="B7" s="74" t="s">
        <v>117</v>
      </c>
      <c r="C7" s="73" t="s">
        <v>118</v>
      </c>
      <c r="D7" s="72"/>
      <c r="E7" s="72"/>
      <c r="G7" s="124"/>
      <c r="H7" s="124"/>
      <c r="I7" s="124"/>
      <c r="J7" s="124"/>
      <c r="K7" s="124"/>
      <c r="L7" s="124"/>
      <c r="M7" s="124"/>
      <c r="N7" s="124"/>
      <c r="O7" s="124"/>
      <c r="P7" s="124"/>
      <c r="Q7" s="124"/>
    </row>
    <row r="8" spans="2:18" x14ac:dyDescent="0.25">
      <c r="C8" s="71"/>
    </row>
    <row r="9" spans="2:18" x14ac:dyDescent="0.25">
      <c r="B9" s="1"/>
      <c r="C9" s="125" t="s">
        <v>116</v>
      </c>
      <c r="D9" s="126"/>
      <c r="E9" s="126"/>
      <c r="F9" s="127"/>
      <c r="G9" s="127"/>
      <c r="H9" s="127"/>
      <c r="I9" s="127"/>
      <c r="J9" s="127"/>
      <c r="K9" s="127"/>
      <c r="L9" s="127"/>
      <c r="M9" s="127"/>
      <c r="N9" s="127"/>
      <c r="O9" s="127"/>
      <c r="P9" s="127"/>
      <c r="Q9" s="127"/>
    </row>
    <row r="10" spans="2:18" ht="15" customHeight="1" x14ac:dyDescent="0.25">
      <c r="B10" s="128" t="s">
        <v>44</v>
      </c>
      <c r="C10" s="128"/>
      <c r="D10" s="128"/>
      <c r="E10" s="128"/>
      <c r="F10" s="78" t="s">
        <v>40</v>
      </c>
      <c r="G10" s="76">
        <v>10</v>
      </c>
      <c r="H10" s="76">
        <v>20</v>
      </c>
      <c r="I10" s="76">
        <v>30</v>
      </c>
      <c r="J10" s="76">
        <v>60</v>
      </c>
      <c r="K10" s="76">
        <v>120</v>
      </c>
      <c r="L10" s="76">
        <f>6*60</f>
        <v>360</v>
      </c>
      <c r="M10" s="76">
        <f>12*60</f>
        <v>720</v>
      </c>
      <c r="N10" s="77">
        <f>24*60</f>
        <v>1440</v>
      </c>
      <c r="O10" s="76">
        <f>48*60</f>
        <v>2880</v>
      </c>
      <c r="P10" s="76">
        <f>72*60</f>
        <v>4320</v>
      </c>
      <c r="Q10" s="76">
        <f>96*60</f>
        <v>5760</v>
      </c>
      <c r="R10" s="76">
        <f>120*60</f>
        <v>7200</v>
      </c>
    </row>
    <row r="11" spans="2:18" ht="15" customHeight="1" x14ac:dyDescent="0.25">
      <c r="B11" s="128"/>
      <c r="C11" s="66" t="s">
        <v>119</v>
      </c>
      <c r="D11" s="67"/>
      <c r="E11" s="98" t="s">
        <v>119</v>
      </c>
      <c r="F11" s="98" t="s">
        <v>120</v>
      </c>
      <c r="G11" s="98" t="s">
        <v>121</v>
      </c>
      <c r="H11" s="98" t="s">
        <v>122</v>
      </c>
      <c r="I11" s="98" t="s">
        <v>123</v>
      </c>
      <c r="J11" s="98" t="s">
        <v>124</v>
      </c>
      <c r="K11" s="98" t="s">
        <v>125</v>
      </c>
      <c r="L11" s="98" t="s">
        <v>126</v>
      </c>
      <c r="M11" s="98" t="s">
        <v>127</v>
      </c>
      <c r="N11" s="98" t="s">
        <v>128</v>
      </c>
      <c r="O11" s="98" t="s">
        <v>129</v>
      </c>
      <c r="P11" s="98" t="s">
        <v>130</v>
      </c>
      <c r="Q11" s="98" t="s">
        <v>131</v>
      </c>
      <c r="R11" s="98" t="s">
        <v>132</v>
      </c>
    </row>
    <row r="12" spans="2:18" ht="15.75" x14ac:dyDescent="0.25">
      <c r="B12" s="128"/>
      <c r="C12" s="79">
        <v>1.58</v>
      </c>
      <c r="D12" s="67"/>
      <c r="E12" s="99">
        <v>1.58</v>
      </c>
      <c r="F12" s="99">
        <v>0.63300000000000001</v>
      </c>
      <c r="G12" s="99">
        <v>26.8</v>
      </c>
      <c r="H12" s="99">
        <v>19</v>
      </c>
      <c r="I12" s="99">
        <v>15.8</v>
      </c>
      <c r="J12" s="99">
        <v>11.7</v>
      </c>
      <c r="K12" s="99">
        <v>8.58</v>
      </c>
      <c r="L12" s="99">
        <v>5.0999999999999996</v>
      </c>
      <c r="M12" s="99">
        <v>3.55</v>
      </c>
      <c r="N12" s="99">
        <v>2.39</v>
      </c>
      <c r="O12" s="99">
        <v>1.52</v>
      </c>
      <c r="P12" s="99">
        <v>1.1299999999999999</v>
      </c>
      <c r="Q12" s="99">
        <v>0.90900000000000003</v>
      </c>
      <c r="R12" s="99">
        <v>0.76</v>
      </c>
    </row>
    <row r="13" spans="2:18" ht="15.75" x14ac:dyDescent="0.25">
      <c r="B13" s="128"/>
      <c r="C13" s="79">
        <v>2</v>
      </c>
      <c r="D13" s="67"/>
      <c r="E13" s="100">
        <v>2</v>
      </c>
      <c r="F13" s="100">
        <v>0.5</v>
      </c>
      <c r="G13" s="100">
        <v>30.7</v>
      </c>
      <c r="H13" s="100">
        <v>21.7</v>
      </c>
      <c r="I13" s="100">
        <v>18</v>
      </c>
      <c r="J13" s="100">
        <v>13.3</v>
      </c>
      <c r="K13" s="100">
        <v>9.7799999999999994</v>
      </c>
      <c r="L13" s="100">
        <v>5.78</v>
      </c>
      <c r="M13" s="100">
        <v>4.0199999999999996</v>
      </c>
      <c r="N13" s="100">
        <v>2.68</v>
      </c>
      <c r="O13" s="100">
        <v>1.71</v>
      </c>
      <c r="P13" s="100">
        <v>1.28</v>
      </c>
      <c r="Q13" s="100">
        <v>1.02</v>
      </c>
      <c r="R13" s="100">
        <v>0.85199999999999998</v>
      </c>
    </row>
    <row r="14" spans="2:18" ht="15.75" x14ac:dyDescent="0.25">
      <c r="B14" s="128"/>
      <c r="C14" s="79">
        <v>5</v>
      </c>
      <c r="D14" s="67"/>
      <c r="E14" s="99">
        <v>5</v>
      </c>
      <c r="F14" s="99">
        <v>0.2</v>
      </c>
      <c r="G14" s="99">
        <v>44.9</v>
      </c>
      <c r="H14" s="99">
        <v>31.6</v>
      </c>
      <c r="I14" s="99">
        <v>26.1</v>
      </c>
      <c r="J14" s="99">
        <v>19.100000000000001</v>
      </c>
      <c r="K14" s="99">
        <v>14</v>
      </c>
      <c r="L14" s="99">
        <v>8.2100000000000009</v>
      </c>
      <c r="M14" s="99">
        <v>5.67</v>
      </c>
      <c r="N14" s="99">
        <v>3.75</v>
      </c>
      <c r="O14" s="99">
        <v>2.37</v>
      </c>
      <c r="P14" s="99">
        <v>1.77</v>
      </c>
      <c r="Q14" s="99">
        <v>1.41</v>
      </c>
      <c r="R14" s="99">
        <v>1.17</v>
      </c>
    </row>
    <row r="15" spans="2:18" ht="15.75" x14ac:dyDescent="0.25">
      <c r="B15" s="128"/>
      <c r="C15" s="79">
        <v>10</v>
      </c>
      <c r="D15" s="67"/>
      <c r="E15" s="100">
        <v>10</v>
      </c>
      <c r="F15" s="100">
        <v>0.1</v>
      </c>
      <c r="G15" s="100">
        <v>56.5</v>
      </c>
      <c r="H15" s="100">
        <v>39.700000000000003</v>
      </c>
      <c r="I15" s="100">
        <v>32.700000000000003</v>
      </c>
      <c r="J15" s="100">
        <v>23.8</v>
      </c>
      <c r="K15" s="100">
        <v>17.3</v>
      </c>
      <c r="L15" s="100">
        <v>10.1</v>
      </c>
      <c r="M15" s="100">
        <v>6.95</v>
      </c>
      <c r="N15" s="100">
        <v>4.59</v>
      </c>
      <c r="O15" s="100">
        <v>2.89</v>
      </c>
      <c r="P15" s="100">
        <v>2.15</v>
      </c>
      <c r="Q15" s="100">
        <v>1.71</v>
      </c>
      <c r="R15" s="100">
        <v>1.42</v>
      </c>
    </row>
    <row r="16" spans="2:18" ht="15.75" x14ac:dyDescent="0.25">
      <c r="B16" s="128"/>
      <c r="C16" s="79">
        <v>20</v>
      </c>
      <c r="D16" s="67"/>
      <c r="E16" s="99">
        <v>20</v>
      </c>
      <c r="F16" s="99">
        <v>0.05</v>
      </c>
      <c r="G16" s="99">
        <v>69.400000000000006</v>
      </c>
      <c r="H16" s="99">
        <v>48.5</v>
      </c>
      <c r="I16" s="99">
        <v>39.799999999999997</v>
      </c>
      <c r="J16" s="99">
        <v>28.9</v>
      </c>
      <c r="K16" s="99">
        <v>21</v>
      </c>
      <c r="L16" s="99">
        <v>12.2</v>
      </c>
      <c r="M16" s="99">
        <v>8.32</v>
      </c>
      <c r="N16" s="99">
        <v>5.45</v>
      </c>
      <c r="O16" s="99">
        <v>3.43</v>
      </c>
      <c r="P16" s="99">
        <v>2.54</v>
      </c>
      <c r="Q16" s="99">
        <v>2.02</v>
      </c>
      <c r="R16" s="99">
        <v>1.67</v>
      </c>
    </row>
    <row r="17" spans="2:20" ht="15.75" x14ac:dyDescent="0.25">
      <c r="B17" s="128"/>
      <c r="C17" s="79">
        <v>30</v>
      </c>
      <c r="D17" s="67"/>
      <c r="E17" s="100">
        <v>30</v>
      </c>
      <c r="F17" s="100">
        <v>3.3000000000000002E-2</v>
      </c>
      <c r="G17" s="100">
        <v>77.599999999999994</v>
      </c>
      <c r="H17" s="100">
        <v>54</v>
      </c>
      <c r="I17" s="100">
        <v>44.4</v>
      </c>
      <c r="J17" s="100">
        <v>32.1</v>
      </c>
      <c r="K17" s="100">
        <v>23.2</v>
      </c>
      <c r="L17" s="100">
        <v>13.4</v>
      </c>
      <c r="M17" s="100">
        <v>9.16</v>
      </c>
      <c r="N17" s="100">
        <v>5.99</v>
      </c>
      <c r="O17" s="100">
        <v>3.76</v>
      </c>
      <c r="P17" s="100">
        <v>2.78</v>
      </c>
      <c r="Q17" s="100">
        <v>2.21</v>
      </c>
      <c r="R17" s="100">
        <v>1.83</v>
      </c>
    </row>
    <row r="18" spans="2:20" ht="15.75" x14ac:dyDescent="0.25">
      <c r="B18" s="128"/>
      <c r="C18" s="79">
        <v>40</v>
      </c>
      <c r="D18" s="67"/>
      <c r="E18" s="99">
        <v>40</v>
      </c>
      <c r="F18" s="99">
        <v>2.5000000000000001E-2</v>
      </c>
      <c r="G18" s="99">
        <v>83.6</v>
      </c>
      <c r="H18" s="99">
        <v>58.1</v>
      </c>
      <c r="I18" s="99">
        <v>47.6</v>
      </c>
      <c r="J18" s="99">
        <v>34.4</v>
      </c>
      <c r="K18" s="99">
        <v>24.9</v>
      </c>
      <c r="L18" s="99">
        <v>14.4</v>
      </c>
      <c r="M18" s="99">
        <v>9.7799999999999994</v>
      </c>
      <c r="N18" s="99">
        <v>6.39</v>
      </c>
      <c r="O18" s="99">
        <v>3.99</v>
      </c>
      <c r="P18" s="99">
        <v>2.95</v>
      </c>
      <c r="Q18" s="99">
        <v>2.34</v>
      </c>
      <c r="R18" s="99">
        <v>1.94</v>
      </c>
    </row>
    <row r="19" spans="2:20" ht="15.75" x14ac:dyDescent="0.25">
      <c r="B19" s="128"/>
      <c r="C19" s="82">
        <v>50</v>
      </c>
      <c r="D19" s="67"/>
      <c r="E19" s="100">
        <v>50</v>
      </c>
      <c r="F19" s="100">
        <v>0.02</v>
      </c>
      <c r="G19" s="100">
        <v>88.5</v>
      </c>
      <c r="H19" s="100">
        <v>61.5</v>
      </c>
      <c r="I19" s="100">
        <v>50.4</v>
      </c>
      <c r="J19" s="100">
        <v>36.4</v>
      </c>
      <c r="K19" s="100">
        <v>26.2</v>
      </c>
      <c r="L19" s="100">
        <v>15.1</v>
      </c>
      <c r="M19" s="100">
        <v>10.3</v>
      </c>
      <c r="N19" s="100">
        <v>6.69</v>
      </c>
      <c r="O19" s="100">
        <v>4.18</v>
      </c>
      <c r="P19" s="100">
        <v>3.09</v>
      </c>
      <c r="Q19" s="100">
        <v>2.4500000000000002</v>
      </c>
      <c r="R19" s="100">
        <v>2.0299999999999998</v>
      </c>
    </row>
    <row r="20" spans="2:20" ht="15.75" x14ac:dyDescent="0.25">
      <c r="B20" s="128"/>
      <c r="C20" s="79">
        <v>60</v>
      </c>
      <c r="D20" s="80"/>
      <c r="E20" s="99">
        <v>60</v>
      </c>
      <c r="F20" s="99">
        <v>1.7000000000000001E-2</v>
      </c>
      <c r="G20" s="99">
        <v>92.5</v>
      </c>
      <c r="H20" s="99">
        <v>64.2</v>
      </c>
      <c r="I20" s="99">
        <v>52.6</v>
      </c>
      <c r="J20" s="99">
        <v>37.9</v>
      </c>
      <c r="K20" s="99">
        <v>27.3</v>
      </c>
      <c r="L20" s="99">
        <v>15.7</v>
      </c>
      <c r="M20" s="99">
        <v>10.7</v>
      </c>
      <c r="N20" s="99">
        <v>6.95</v>
      </c>
      <c r="O20" s="99">
        <v>4.33</v>
      </c>
      <c r="P20" s="99">
        <v>3.2</v>
      </c>
      <c r="Q20" s="99">
        <v>2.54</v>
      </c>
      <c r="R20" s="99">
        <v>2.1</v>
      </c>
    </row>
    <row r="21" spans="2:20" ht="15.75" x14ac:dyDescent="0.25">
      <c r="B21" s="128"/>
      <c r="C21" s="79">
        <v>80</v>
      </c>
      <c r="D21" s="80"/>
      <c r="E21" s="100">
        <v>80</v>
      </c>
      <c r="F21" s="100">
        <v>1.2999999999999999E-2</v>
      </c>
      <c r="G21" s="100">
        <v>99.2</v>
      </c>
      <c r="H21" s="100">
        <v>68.7</v>
      </c>
      <c r="I21" s="100">
        <v>56.2</v>
      </c>
      <c r="J21" s="100">
        <v>40.5</v>
      </c>
      <c r="K21" s="100">
        <v>29.1</v>
      </c>
      <c r="L21" s="100">
        <v>16.7</v>
      </c>
      <c r="M21" s="100">
        <v>11.3</v>
      </c>
      <c r="N21" s="100">
        <v>7.35</v>
      </c>
      <c r="O21" s="100">
        <v>4.58</v>
      </c>
      <c r="P21" s="100">
        <v>3.38</v>
      </c>
      <c r="Q21" s="100">
        <v>2.67</v>
      </c>
      <c r="R21" s="100">
        <v>2.21</v>
      </c>
    </row>
    <row r="22" spans="2:20" ht="15.75" x14ac:dyDescent="0.25">
      <c r="B22" s="128"/>
      <c r="C22" s="79">
        <v>100</v>
      </c>
      <c r="D22" s="80"/>
      <c r="E22" s="99">
        <v>100</v>
      </c>
      <c r="F22" s="99">
        <v>0.01</v>
      </c>
      <c r="G22" s="99">
        <v>104</v>
      </c>
      <c r="H22" s="99">
        <v>72.2</v>
      </c>
      <c r="I22" s="99">
        <v>59</v>
      </c>
      <c r="J22" s="99">
        <v>42.5</v>
      </c>
      <c r="K22" s="99">
        <v>30.5</v>
      </c>
      <c r="L22" s="99">
        <v>17.5</v>
      </c>
      <c r="M22" s="99">
        <v>11.8</v>
      </c>
      <c r="N22" s="99">
        <v>7.68</v>
      </c>
      <c r="O22" s="99">
        <v>4.7699999999999996</v>
      </c>
      <c r="P22" s="99">
        <v>3.51</v>
      </c>
      <c r="Q22" s="99">
        <v>2.79</v>
      </c>
      <c r="R22" s="99">
        <v>2.2999999999999998</v>
      </c>
    </row>
    <row r="23" spans="2:20" ht="15.75" x14ac:dyDescent="0.25">
      <c r="B23" s="128"/>
      <c r="C23" s="79">
        <v>250</v>
      </c>
      <c r="D23" s="80"/>
      <c r="E23" s="101">
        <v>250</v>
      </c>
      <c r="F23" s="101">
        <v>4.0000000000000001E-3</v>
      </c>
      <c r="G23" s="101">
        <v>127</v>
      </c>
      <c r="H23" s="101">
        <v>87.2</v>
      </c>
      <c r="I23" s="101">
        <v>71.099999999999994</v>
      </c>
      <c r="J23" s="101">
        <v>50.8</v>
      </c>
      <c r="K23" s="101">
        <v>36.299999999999997</v>
      </c>
      <c r="L23" s="101">
        <v>20.6</v>
      </c>
      <c r="M23" s="101">
        <v>13.9</v>
      </c>
      <c r="N23" s="101">
        <v>8.9700000000000006</v>
      </c>
      <c r="O23" s="101">
        <v>5.55</v>
      </c>
      <c r="P23" s="101">
        <v>4.07</v>
      </c>
      <c r="Q23" s="101">
        <v>3.22</v>
      </c>
      <c r="R23" s="101">
        <v>2.66</v>
      </c>
    </row>
    <row r="24" spans="2:20" x14ac:dyDescent="0.25">
      <c r="J24" s="22"/>
    </row>
    <row r="25" spans="2:20" ht="16.5" thickBot="1" x14ac:dyDescent="0.3">
      <c r="B25" t="s">
        <v>10</v>
      </c>
      <c r="C25" t="s">
        <v>11</v>
      </c>
      <c r="D25" t="s">
        <v>12</v>
      </c>
      <c r="E25" t="s">
        <v>20</v>
      </c>
      <c r="F25" s="28"/>
      <c r="G25" s="28"/>
      <c r="H25" s="26"/>
      <c r="I25" s="26"/>
      <c r="J25" s="26"/>
      <c r="K25" s="26"/>
      <c r="L25" s="26"/>
      <c r="M25" s="26"/>
      <c r="N25" s="27"/>
      <c r="O25" s="27"/>
      <c r="P25" s="19"/>
      <c r="Q25" s="19"/>
      <c r="R25" s="13"/>
      <c r="S25" s="13"/>
      <c r="T25" s="13"/>
    </row>
    <row r="26" spans="2:20" s="2" customFormat="1" ht="18" customHeight="1" x14ac:dyDescent="0.25">
      <c r="B26" s="3" t="s">
        <v>45</v>
      </c>
      <c r="C26" s="3" t="s">
        <v>1</v>
      </c>
      <c r="D26" s="3" t="s">
        <v>0</v>
      </c>
      <c r="E26" s="3"/>
      <c r="F26" s="112" t="s">
        <v>79</v>
      </c>
      <c r="H26" s="43"/>
      <c r="I26" s="43"/>
      <c r="J26" s="43"/>
      <c r="K26" s="43"/>
      <c r="L26" s="43"/>
      <c r="M26" s="43"/>
      <c r="N26" s="20"/>
      <c r="O26" s="20"/>
      <c r="P26" s="20"/>
      <c r="Q26" s="20"/>
      <c r="S26" s="112" t="s">
        <v>78</v>
      </c>
    </row>
    <row r="27" spans="2:20" ht="25.5" customHeight="1" x14ac:dyDescent="0.25">
      <c r="B27" s="24" t="s">
        <v>84</v>
      </c>
      <c r="F27" s="113"/>
      <c r="H27" s="45"/>
      <c r="I27" s="23"/>
      <c r="J27" s="23"/>
      <c r="K27" s="23"/>
      <c r="L27" s="23"/>
      <c r="M27" s="23"/>
      <c r="N27" s="2"/>
      <c r="O27" s="2"/>
      <c r="S27" s="113"/>
    </row>
    <row r="28" spans="2:20" s="2" customFormat="1" ht="17.25" x14ac:dyDescent="0.25">
      <c r="B28" s="2" t="s">
        <v>22</v>
      </c>
      <c r="C28" s="2" t="s">
        <v>27</v>
      </c>
      <c r="D28" s="2" t="s">
        <v>4</v>
      </c>
      <c r="E28" s="2" t="s">
        <v>86</v>
      </c>
      <c r="F28" s="70">
        <v>200</v>
      </c>
      <c r="H28" s="46"/>
      <c r="I28" s="46"/>
      <c r="J28" s="46"/>
      <c r="K28" s="46"/>
      <c r="L28" s="46"/>
      <c r="M28" s="46"/>
      <c r="N28" s="11"/>
      <c r="O28" s="12"/>
      <c r="P28" s="14"/>
      <c r="Q28" s="14"/>
      <c r="S28" s="69">
        <f>F28</f>
        <v>200</v>
      </c>
    </row>
    <row r="29" spans="2:20" s="2" customFormat="1" x14ac:dyDescent="0.25">
      <c r="B29" s="2" t="s">
        <v>24</v>
      </c>
      <c r="C29" s="2" t="s">
        <v>29</v>
      </c>
      <c r="D29" s="2" t="s">
        <v>9</v>
      </c>
      <c r="F29" s="70">
        <v>0.9</v>
      </c>
      <c r="H29" s="46"/>
      <c r="I29" s="46"/>
      <c r="J29" s="46"/>
      <c r="K29" s="46"/>
      <c r="L29" s="46"/>
      <c r="M29" s="46"/>
      <c r="N29" s="11"/>
      <c r="O29" s="12"/>
      <c r="P29" s="14"/>
      <c r="Q29" s="14"/>
      <c r="S29" s="69">
        <v>0.25</v>
      </c>
    </row>
    <row r="30" spans="2:20" s="2" customFormat="1" ht="15" customHeight="1" x14ac:dyDescent="0.25">
      <c r="B30" s="2" t="s">
        <v>21</v>
      </c>
      <c r="C30" s="2" t="s">
        <v>28</v>
      </c>
      <c r="D30" s="2" t="s">
        <v>4</v>
      </c>
      <c r="E30" s="2" t="s">
        <v>86</v>
      </c>
      <c r="F30" s="70">
        <v>168.63</v>
      </c>
      <c r="H30" s="46"/>
      <c r="I30" s="46"/>
      <c r="J30" s="46"/>
      <c r="K30" s="46"/>
      <c r="L30" s="46"/>
      <c r="M30" s="46"/>
      <c r="N30" s="11"/>
      <c r="O30" s="12"/>
      <c r="P30" s="14"/>
      <c r="Q30" s="14"/>
      <c r="S30" s="69">
        <f>F30</f>
        <v>168.63</v>
      </c>
    </row>
    <row r="31" spans="2:20" s="2" customFormat="1" ht="15" customHeight="1" x14ac:dyDescent="0.25">
      <c r="B31" s="2" t="s">
        <v>25</v>
      </c>
      <c r="C31" s="2" t="s">
        <v>30</v>
      </c>
      <c r="D31" s="2" t="s">
        <v>9</v>
      </c>
      <c r="F31" s="70">
        <v>0.85</v>
      </c>
      <c r="H31" s="47"/>
      <c r="I31" s="47"/>
      <c r="J31" s="47"/>
      <c r="K31" s="47"/>
      <c r="L31" s="47"/>
      <c r="M31" s="47"/>
      <c r="N31" s="11"/>
      <c r="O31" s="12"/>
      <c r="P31" s="15"/>
      <c r="Q31" s="15"/>
      <c r="S31" s="70">
        <v>0.25</v>
      </c>
    </row>
    <row r="32" spans="2:20" s="2" customFormat="1" ht="15" hidden="1" customHeight="1" x14ac:dyDescent="0.25">
      <c r="B32" s="2" t="s">
        <v>75</v>
      </c>
      <c r="C32" s="2" t="s">
        <v>26</v>
      </c>
      <c r="D32" s="2" t="s">
        <v>34</v>
      </c>
      <c r="E32" s="2" t="s">
        <v>86</v>
      </c>
      <c r="F32" s="70"/>
      <c r="H32" s="46"/>
      <c r="I32" s="46"/>
      <c r="J32" s="46"/>
      <c r="K32" s="46"/>
      <c r="L32" s="46"/>
      <c r="M32" s="46"/>
      <c r="N32" s="11"/>
      <c r="O32" s="12"/>
      <c r="P32" s="14"/>
      <c r="Q32" s="14"/>
      <c r="S32" s="69">
        <f>F32</f>
        <v>0</v>
      </c>
    </row>
    <row r="33" spans="2:20" s="2" customFormat="1" ht="15" hidden="1" customHeight="1" x14ac:dyDescent="0.25">
      <c r="B33" s="2" t="s">
        <v>18</v>
      </c>
      <c r="C33" s="2" t="s">
        <v>31</v>
      </c>
      <c r="D33" s="2" t="s">
        <v>9</v>
      </c>
      <c r="F33" s="70"/>
      <c r="H33" s="47"/>
      <c r="I33" s="47"/>
      <c r="J33" s="47"/>
      <c r="K33" s="47"/>
      <c r="L33" s="47"/>
      <c r="M33" s="47"/>
      <c r="N33" s="11"/>
      <c r="O33" s="12"/>
      <c r="P33" s="15"/>
      <c r="Q33" s="15"/>
      <c r="S33" s="70">
        <v>0.25</v>
      </c>
    </row>
    <row r="34" spans="2:20" s="4" customFormat="1" ht="15" customHeight="1" x14ac:dyDescent="0.25">
      <c r="B34" s="23" t="s">
        <v>73</v>
      </c>
      <c r="C34" s="23" t="s">
        <v>77</v>
      </c>
      <c r="D34" s="2" t="s">
        <v>4</v>
      </c>
      <c r="E34" s="2" t="s">
        <v>86</v>
      </c>
      <c r="F34" s="75"/>
      <c r="H34" s="46"/>
      <c r="I34" s="46"/>
      <c r="J34" s="46"/>
      <c r="K34" s="46"/>
      <c r="L34" s="46"/>
      <c r="M34" s="46"/>
      <c r="N34" s="14"/>
      <c r="O34" s="17"/>
      <c r="P34" s="17"/>
      <c r="Q34" s="17"/>
      <c r="S34" s="75">
        <f>F34</f>
        <v>0</v>
      </c>
    </row>
    <row r="35" spans="2:20" s="4" customFormat="1" ht="15" customHeight="1" x14ac:dyDescent="0.25">
      <c r="B35" s="23" t="s">
        <v>74</v>
      </c>
      <c r="C35" s="23" t="s">
        <v>61</v>
      </c>
      <c r="D35" s="2" t="s">
        <v>9</v>
      </c>
      <c r="E35" s="2"/>
      <c r="F35" s="75">
        <v>0.6</v>
      </c>
      <c r="H35" s="46"/>
      <c r="I35" s="46"/>
      <c r="J35" s="46"/>
      <c r="K35" s="46"/>
      <c r="L35" s="46"/>
      <c r="M35" s="46"/>
      <c r="N35" s="14"/>
      <c r="O35" s="17"/>
      <c r="P35" s="17"/>
      <c r="Q35" s="17"/>
      <c r="R35" s="17"/>
      <c r="S35" s="75">
        <v>0.25</v>
      </c>
    </row>
    <row r="36" spans="2:20" s="2" customFormat="1" ht="15" hidden="1" customHeight="1" x14ac:dyDescent="0.25">
      <c r="B36" s="2" t="s">
        <v>23</v>
      </c>
      <c r="C36" s="23" t="s">
        <v>17</v>
      </c>
      <c r="D36" s="2" t="s">
        <v>35</v>
      </c>
      <c r="F36" s="52">
        <f>100*(F30+F28)/F37</f>
        <v>100</v>
      </c>
      <c r="H36" s="46"/>
      <c r="I36" s="46"/>
      <c r="J36" s="46"/>
      <c r="K36" s="46"/>
      <c r="L36" s="46"/>
      <c r="M36" s="46"/>
      <c r="N36" s="11"/>
      <c r="O36" s="12"/>
      <c r="P36" s="14"/>
      <c r="Q36" s="14"/>
      <c r="R36" s="14"/>
      <c r="S36" s="52">
        <f>100*(S30+S28)/S37</f>
        <v>100</v>
      </c>
    </row>
    <row r="37" spans="2:20" s="4" customFormat="1" ht="15" customHeight="1" x14ac:dyDescent="0.25">
      <c r="B37" s="4" t="s">
        <v>76</v>
      </c>
      <c r="C37" s="23" t="s">
        <v>15</v>
      </c>
      <c r="D37" s="2" t="s">
        <v>4</v>
      </c>
      <c r="E37" s="2" t="s">
        <v>86</v>
      </c>
      <c r="F37" s="54">
        <f>F28+F30+F32+F34</f>
        <v>368.63</v>
      </c>
      <c r="H37" s="10"/>
      <c r="I37" s="10"/>
      <c r="J37" s="10"/>
      <c r="K37" s="10"/>
      <c r="L37" s="10"/>
      <c r="M37" s="10"/>
      <c r="N37" s="11"/>
      <c r="O37" s="12"/>
      <c r="P37" s="10"/>
      <c r="Q37" s="10"/>
      <c r="R37" s="10"/>
      <c r="S37" s="53">
        <f>S28+S30+S32+S34</f>
        <v>368.63</v>
      </c>
    </row>
    <row r="38" spans="2:20" s="4" customFormat="1" ht="15" customHeight="1" x14ac:dyDescent="0.25">
      <c r="B38" s="4" t="s">
        <v>19</v>
      </c>
      <c r="C38" s="23" t="s">
        <v>3</v>
      </c>
      <c r="D38" s="2" t="s">
        <v>32</v>
      </c>
      <c r="E38" s="2"/>
      <c r="F38" s="55">
        <f>(F31*F30+F33*F32+F28*F29+F34*F35)/F37</f>
        <v>0.87712747199088525</v>
      </c>
      <c r="H38" s="49"/>
      <c r="I38" s="49"/>
      <c r="J38" s="49"/>
      <c r="K38" s="49"/>
      <c r="L38" s="49"/>
      <c r="M38" s="49"/>
      <c r="N38" s="11"/>
      <c r="O38" s="12"/>
      <c r="P38" s="16"/>
      <c r="Q38" s="16"/>
      <c r="R38" s="16"/>
      <c r="S38" s="55">
        <f>(S31*S30+S33*S32+S28*S29+S34*S35)/S37</f>
        <v>0.25</v>
      </c>
    </row>
    <row r="39" spans="2:20" s="4" customFormat="1" ht="15" customHeight="1" x14ac:dyDescent="0.25">
      <c r="C39" s="23"/>
      <c r="D39" s="2"/>
      <c r="E39" s="2"/>
      <c r="F39" s="49"/>
      <c r="G39" s="49"/>
      <c r="H39" s="49"/>
      <c r="I39" s="49"/>
      <c r="J39" s="49"/>
      <c r="K39" s="49"/>
      <c r="L39" s="49"/>
      <c r="M39" s="49"/>
      <c r="N39" s="11"/>
      <c r="O39" s="12"/>
      <c r="P39" s="16"/>
      <c r="Q39" s="16"/>
      <c r="R39" s="16"/>
      <c r="S39" s="16"/>
      <c r="T39" s="16"/>
    </row>
    <row r="40" spans="2:20" s="4" customFormat="1" ht="15" customHeight="1" x14ac:dyDescent="0.25">
      <c r="B40" s="25" t="s">
        <v>80</v>
      </c>
      <c r="C40" s="23"/>
      <c r="D40" s="2"/>
      <c r="E40" s="2"/>
      <c r="F40" s="49"/>
      <c r="G40" s="49"/>
      <c r="H40" s="49"/>
      <c r="I40" s="49"/>
      <c r="J40" s="49"/>
      <c r="K40" s="49"/>
      <c r="L40" s="49"/>
      <c r="M40" s="49"/>
      <c r="N40" s="11"/>
      <c r="O40" s="12"/>
      <c r="P40" s="16"/>
      <c r="Q40" s="16"/>
      <c r="R40" s="16"/>
      <c r="S40" s="16"/>
      <c r="T40" s="16"/>
    </row>
    <row r="41" spans="2:20" s="2" customFormat="1" ht="15" customHeight="1" x14ac:dyDescent="0.25">
      <c r="B41" s="2" t="s">
        <v>82</v>
      </c>
      <c r="C41" s="23" t="s">
        <v>14</v>
      </c>
      <c r="D41" s="2" t="s">
        <v>5</v>
      </c>
      <c r="E41" s="2" t="s">
        <v>50</v>
      </c>
      <c r="F41" s="70">
        <v>41.3</v>
      </c>
      <c r="G41" s="46"/>
      <c r="H41" s="46"/>
      <c r="I41" s="46"/>
      <c r="J41" s="46"/>
      <c r="K41" s="46"/>
      <c r="L41" s="46"/>
      <c r="M41" s="46"/>
      <c r="N41" s="11"/>
      <c r="O41" s="12"/>
      <c r="P41" s="14"/>
      <c r="Q41" s="14"/>
      <c r="R41" s="14"/>
      <c r="S41" s="14"/>
      <c r="T41" s="14"/>
    </row>
    <row r="42" spans="2:20" s="2" customFormat="1" ht="15" customHeight="1" x14ac:dyDescent="0.25">
      <c r="B42" s="2" t="s">
        <v>83</v>
      </c>
      <c r="C42" s="23" t="s">
        <v>16</v>
      </c>
      <c r="D42" s="2" t="s">
        <v>6</v>
      </c>
      <c r="E42" s="2" t="s">
        <v>50</v>
      </c>
      <c r="F42" s="70">
        <f>52.5-49</f>
        <v>3.5</v>
      </c>
      <c r="G42" s="46"/>
      <c r="H42" s="46"/>
      <c r="I42" s="46"/>
      <c r="J42" s="46"/>
      <c r="K42" s="46"/>
      <c r="L42" s="46"/>
      <c r="M42" s="46"/>
      <c r="N42" s="11"/>
      <c r="O42" s="12"/>
      <c r="P42" s="14"/>
      <c r="Q42" s="14"/>
      <c r="R42" s="14"/>
      <c r="S42" s="14"/>
      <c r="T42" s="14"/>
    </row>
    <row r="43" spans="2:20" s="2" customFormat="1" ht="15" customHeight="1" x14ac:dyDescent="0.25">
      <c r="B43" s="2" t="s">
        <v>81</v>
      </c>
      <c r="C43" s="23" t="s">
        <v>13</v>
      </c>
      <c r="D43" s="2" t="s">
        <v>36</v>
      </c>
      <c r="E43" s="2" t="s">
        <v>17</v>
      </c>
      <c r="F43" s="53">
        <f>100*(F42)/F41</f>
        <v>8.4745762711864412</v>
      </c>
      <c r="G43" s="46"/>
      <c r="H43" s="46"/>
      <c r="I43" s="46"/>
      <c r="J43" s="46"/>
      <c r="K43" s="46"/>
      <c r="L43" s="46"/>
      <c r="M43" s="46"/>
      <c r="N43" s="11"/>
      <c r="O43" s="12"/>
      <c r="P43" s="14"/>
      <c r="Q43" s="14"/>
      <c r="R43" s="14"/>
      <c r="S43" s="14"/>
      <c r="T43" s="14"/>
    </row>
    <row r="44" spans="2:20" s="2" customFormat="1" ht="15" customHeight="1" x14ac:dyDescent="0.25">
      <c r="C44" s="23"/>
      <c r="F44" s="46"/>
      <c r="G44" s="46"/>
      <c r="H44" s="46"/>
      <c r="I44" s="46"/>
      <c r="J44" s="46"/>
      <c r="K44" s="46"/>
      <c r="L44" s="46"/>
      <c r="M44" s="46"/>
      <c r="N44" s="11"/>
      <c r="O44" s="12"/>
      <c r="P44" s="14"/>
      <c r="Q44" s="14"/>
      <c r="R44" s="14"/>
      <c r="S44" s="14"/>
      <c r="T44" s="14"/>
    </row>
    <row r="45" spans="2:20" s="2" customFormat="1" ht="15" customHeight="1" x14ac:dyDescent="0.25">
      <c r="B45" s="25" t="s">
        <v>85</v>
      </c>
      <c r="C45" s="23" t="s">
        <v>38</v>
      </c>
      <c r="D45" s="2" t="s">
        <v>39</v>
      </c>
      <c r="F45" s="69">
        <v>0.06</v>
      </c>
      <c r="G45" s="46"/>
      <c r="H45" s="46"/>
      <c r="I45" s="46"/>
      <c r="J45" s="46"/>
      <c r="K45" s="46"/>
      <c r="L45" s="46"/>
      <c r="M45" s="46"/>
      <c r="N45" s="11"/>
      <c r="O45" s="12"/>
      <c r="P45" s="14"/>
      <c r="Q45" s="14"/>
      <c r="R45" s="14"/>
      <c r="S45" s="14"/>
      <c r="T45" s="14"/>
    </row>
    <row r="46" spans="2:20" s="2" customFormat="1" ht="15" customHeight="1" x14ac:dyDescent="0.25">
      <c r="B46" s="25"/>
      <c r="C46" s="23"/>
      <c r="F46" s="46"/>
      <c r="G46" s="46"/>
      <c r="H46" s="46"/>
      <c r="I46" s="46"/>
      <c r="J46" s="46"/>
      <c r="K46" s="46"/>
      <c r="L46" s="46"/>
      <c r="M46" s="46"/>
      <c r="N46" s="11"/>
      <c r="O46" s="12"/>
      <c r="P46" s="14"/>
      <c r="Q46" s="14"/>
      <c r="R46" s="14"/>
      <c r="S46" s="14"/>
      <c r="T46" s="14"/>
    </row>
    <row r="47" spans="2:20" s="2" customFormat="1" ht="17.25" x14ac:dyDescent="0.25">
      <c r="B47" s="24" t="s">
        <v>41</v>
      </c>
      <c r="C47" s="23"/>
      <c r="D47" s="2" t="s">
        <v>43</v>
      </c>
      <c r="E47" s="2" t="s">
        <v>40</v>
      </c>
      <c r="F47" s="56">
        <f>IF(ROUNDUP(100*F45*(F41^0.33)/(F43^0.2),0)&lt;10,10,ROUNDUP(100*F45*(F41^0.33)/(F43^0.2),0))</f>
        <v>14</v>
      </c>
      <c r="G47" s="46"/>
      <c r="H47" s="48"/>
      <c r="I47" s="48"/>
      <c r="J47" s="48"/>
      <c r="K47" s="48"/>
      <c r="L47" s="48"/>
      <c r="M47" s="48"/>
      <c r="N47" s="11"/>
      <c r="O47" s="12"/>
      <c r="P47" s="21"/>
      <c r="Q47" s="21"/>
      <c r="R47" s="21"/>
      <c r="S47" s="21"/>
      <c r="T47" s="21"/>
    </row>
    <row r="48" spans="2:20" x14ac:dyDescent="0.25">
      <c r="C48" s="23"/>
      <c r="E48" s="2"/>
      <c r="F48" s="44"/>
      <c r="G48" s="44"/>
      <c r="H48" s="45"/>
      <c r="I48" s="23"/>
      <c r="J48" s="23"/>
      <c r="K48" s="23"/>
      <c r="L48" s="23"/>
      <c r="M48" s="23"/>
      <c r="N48" s="2"/>
      <c r="O48" s="2"/>
    </row>
    <row r="49" spans="2:20" s="4" customFormat="1" ht="15" customHeight="1" x14ac:dyDescent="0.25">
      <c r="B49" s="25" t="s">
        <v>88</v>
      </c>
      <c r="C49" s="23" t="s">
        <v>2</v>
      </c>
      <c r="D49" s="4" t="s">
        <v>8</v>
      </c>
      <c r="E49" s="2" t="s">
        <v>87</v>
      </c>
      <c r="F49" s="55">
        <f>IF(AND(F47&gt;10,F47&lt;20),G19-((G19-H19)/(H10-G10)*(F47-(H10-G10))),IF(AND(F47&gt;20,F47&lt;30),H19-(H19-I19)/(I10-H10)*(F47-H10),IF(AND(F47&gt;30,F47&lt;60),I19-((I19-J19)/(J10-I10)*(F47-(J10-I10))),IF(AND(F47&gt;60,F47&lt;120),J19-((J19-K19)/(K10-J10)*(F47-(K10-J10))),IF(AND(F47&gt;120,F47&lt;360),K19-(K19-L19)/(L10-K10)*(F47-K10),IF(AND(F47&gt;360,F47&lt;720),L19-((L19-M19)/(M10-L10)*(F47-(M10-L10))),IF(AND(F47&gt;720,F47&lt;1440),M19-((M19-N19)/(N10-M10)*(F47-(N10-M10))),IF(F47=10,G19,IF(F47=20,H19,IF(F47=30,I19,IF(F47=60,J19,IF(F47=120,K19,IF(F47=360,L19,IF(F47=720,M19,IF(F47=1440,N19,"")))))))))))))))</f>
        <v>77.7</v>
      </c>
      <c r="G49" s="46"/>
      <c r="H49" s="49"/>
      <c r="I49" s="49"/>
      <c r="J49" s="49"/>
      <c r="K49" s="49"/>
      <c r="L49" s="49"/>
      <c r="M49" s="49"/>
      <c r="N49" s="11"/>
      <c r="O49" s="12"/>
      <c r="P49" s="16"/>
      <c r="Q49" s="16"/>
      <c r="R49" s="16"/>
      <c r="S49" s="16"/>
      <c r="T49" s="16"/>
    </row>
    <row r="50" spans="2:20" s="4" customFormat="1" ht="15" customHeight="1" x14ac:dyDescent="0.25">
      <c r="B50" s="58" t="s">
        <v>146</v>
      </c>
      <c r="C50" s="23" t="s">
        <v>17</v>
      </c>
      <c r="E50" s="2" t="s">
        <v>17</v>
      </c>
      <c r="F50" s="90">
        <v>100</v>
      </c>
      <c r="G50" s="49"/>
      <c r="H50" s="49"/>
      <c r="I50" s="129" t="s">
        <v>240</v>
      </c>
      <c r="J50" s="130"/>
      <c r="K50" s="131"/>
      <c r="L50" s="49"/>
      <c r="M50" s="49"/>
      <c r="N50" s="11"/>
      <c r="O50" s="12"/>
      <c r="P50" s="16"/>
      <c r="Q50" s="16"/>
      <c r="R50" s="16"/>
      <c r="S50" s="16"/>
      <c r="T50" s="16"/>
    </row>
    <row r="51" spans="2:20" s="4" customFormat="1" ht="15" customHeight="1" x14ac:dyDescent="0.25">
      <c r="B51" s="25" t="s">
        <v>133</v>
      </c>
      <c r="C51" s="23" t="s">
        <v>7</v>
      </c>
      <c r="D51" s="4" t="s">
        <v>33</v>
      </c>
      <c r="E51" s="62" t="s">
        <v>111</v>
      </c>
      <c r="F51" s="83">
        <f>((2.78*S38*F49*S37/10000)/1000)*F50/100</f>
        <v>1.9906572945000002E-3</v>
      </c>
      <c r="G51" s="89"/>
      <c r="H51" s="33"/>
      <c r="I51" s="132"/>
      <c r="J51" s="133"/>
      <c r="K51" s="134"/>
      <c r="L51" s="33"/>
      <c r="M51" s="33"/>
      <c r="N51" s="11"/>
      <c r="O51" s="12"/>
      <c r="P51" s="17"/>
      <c r="Q51" s="17"/>
      <c r="R51" s="17"/>
      <c r="S51" s="17"/>
      <c r="T51" s="17"/>
    </row>
    <row r="52" spans="2:20" s="4" customFormat="1" ht="15" customHeight="1" x14ac:dyDescent="0.25">
      <c r="C52" s="23"/>
      <c r="E52" s="2"/>
      <c r="F52" s="33"/>
      <c r="G52" s="33"/>
      <c r="H52" s="50"/>
      <c r="I52" s="132"/>
      <c r="J52" s="133"/>
      <c r="K52" s="134"/>
      <c r="L52" s="50"/>
      <c r="M52" s="50"/>
      <c r="N52" s="17"/>
      <c r="O52" s="17"/>
      <c r="P52" s="17"/>
      <c r="Q52" s="17"/>
      <c r="R52" s="17"/>
      <c r="S52" s="17"/>
      <c r="T52" s="17"/>
    </row>
    <row r="53" spans="2:20" s="4" customFormat="1" ht="15" customHeight="1" x14ac:dyDescent="0.25">
      <c r="B53" s="25" t="s">
        <v>138</v>
      </c>
      <c r="C53" s="23" t="s">
        <v>89</v>
      </c>
      <c r="D53" s="4" t="s">
        <v>90</v>
      </c>
      <c r="E53" s="2" t="s">
        <v>91</v>
      </c>
      <c r="F53" s="84">
        <f>MAX(F115:M120)</f>
        <v>4.6124614695599995</v>
      </c>
      <c r="H53" s="50"/>
      <c r="I53" s="132"/>
      <c r="J53" s="133"/>
      <c r="K53" s="134"/>
      <c r="L53" s="50"/>
      <c r="M53" s="50"/>
      <c r="N53" s="17"/>
      <c r="O53" s="17"/>
      <c r="P53" s="17"/>
      <c r="Q53" s="17"/>
      <c r="R53" s="17"/>
      <c r="S53" s="17"/>
      <c r="T53" s="17"/>
    </row>
    <row r="54" spans="2:20" s="4" customFormat="1" ht="15" customHeight="1" x14ac:dyDescent="0.25">
      <c r="B54" s="25"/>
      <c r="C54" s="23"/>
      <c r="E54" s="2"/>
      <c r="F54" s="2"/>
      <c r="H54" s="50"/>
      <c r="I54" s="135"/>
      <c r="J54" s="136"/>
      <c r="K54" s="137"/>
      <c r="L54" s="50"/>
      <c r="M54" s="50"/>
      <c r="N54" s="17"/>
      <c r="O54" s="17"/>
      <c r="P54" s="17"/>
      <c r="Q54" s="17"/>
      <c r="R54" s="17"/>
      <c r="S54" s="17"/>
      <c r="T54" s="17"/>
    </row>
    <row r="55" spans="2:20" s="4" customFormat="1" ht="15" customHeight="1" x14ac:dyDescent="0.25">
      <c r="B55" s="25" t="s">
        <v>106</v>
      </c>
      <c r="C55" s="23"/>
      <c r="E55" s="2"/>
      <c r="F55" s="60" t="s">
        <v>107</v>
      </c>
      <c r="G55" s="51" t="s">
        <v>108</v>
      </c>
      <c r="H55" s="50"/>
      <c r="L55" s="50"/>
      <c r="M55" s="50"/>
      <c r="N55" s="17"/>
      <c r="O55" s="17"/>
      <c r="P55" s="17"/>
      <c r="Q55" s="17"/>
      <c r="R55" s="17"/>
      <c r="S55" s="17"/>
      <c r="T55" s="17"/>
    </row>
    <row r="56" spans="2:20" s="4" customFormat="1" ht="15" customHeight="1" x14ac:dyDescent="0.25">
      <c r="B56" s="61" t="s">
        <v>151</v>
      </c>
      <c r="C56" s="23" t="s">
        <v>141</v>
      </c>
      <c r="E56" s="2" t="s">
        <v>50</v>
      </c>
      <c r="F56" s="85">
        <v>2.9</v>
      </c>
      <c r="G56" s="51"/>
      <c r="H56" s="37"/>
      <c r="L56" s="37"/>
      <c r="M56" s="37"/>
      <c r="N56" s="17"/>
      <c r="O56" s="17"/>
      <c r="P56" s="17"/>
      <c r="Q56" s="17"/>
      <c r="R56" s="17"/>
      <c r="S56" s="17"/>
      <c r="T56" s="17"/>
    </row>
    <row r="57" spans="2:20" s="4" customFormat="1" ht="15" customHeight="1" x14ac:dyDescent="0.25">
      <c r="B57" s="61" t="s">
        <v>140</v>
      </c>
      <c r="C57" s="23" t="s">
        <v>142</v>
      </c>
      <c r="E57" s="2" t="s">
        <v>51</v>
      </c>
      <c r="F57" s="87">
        <v>100</v>
      </c>
      <c r="G57" s="51"/>
      <c r="H57" s="37"/>
      <c r="L57" s="37"/>
      <c r="M57" s="37"/>
      <c r="N57" s="17"/>
      <c r="O57" s="17"/>
      <c r="P57" s="17"/>
      <c r="Q57" s="17"/>
      <c r="R57" s="17"/>
      <c r="S57" s="17"/>
      <c r="T57" s="17"/>
    </row>
    <row r="58" spans="2:20" s="4" customFormat="1" ht="15" customHeight="1" x14ac:dyDescent="0.25">
      <c r="B58" s="96" t="s">
        <v>135</v>
      </c>
      <c r="C58" s="23" t="s">
        <v>100</v>
      </c>
      <c r="E58" s="2" t="s">
        <v>50</v>
      </c>
      <c r="F58" s="85">
        <v>2.4</v>
      </c>
      <c r="G58" s="51"/>
      <c r="H58" s="37"/>
      <c r="L58" s="37"/>
      <c r="M58" s="37"/>
      <c r="N58" s="17"/>
      <c r="O58" s="17"/>
      <c r="P58" s="17"/>
      <c r="Q58" s="17"/>
      <c r="R58" s="17"/>
      <c r="S58" s="17"/>
      <c r="T58" s="17"/>
    </row>
    <row r="59" spans="2:20" s="4" customFormat="1" ht="15" customHeight="1" x14ac:dyDescent="0.25">
      <c r="B59" s="61" t="s">
        <v>136</v>
      </c>
      <c r="C59" s="23"/>
      <c r="E59" s="2"/>
      <c r="F59" s="86" t="str">
        <f>IF(F58&lt;=(F56-(F57/2000)-(F61/2000)),"ok","not ok")</f>
        <v>ok</v>
      </c>
      <c r="G59" s="51"/>
      <c r="H59" s="37"/>
      <c r="L59" s="37"/>
      <c r="M59" s="37"/>
      <c r="N59" s="17"/>
      <c r="O59" s="17"/>
      <c r="P59" s="17"/>
      <c r="Q59" s="17"/>
      <c r="R59" s="17"/>
      <c r="S59" s="17"/>
      <c r="T59" s="17"/>
    </row>
    <row r="60" spans="2:20" s="4" customFormat="1" ht="15" customHeight="1" x14ac:dyDescent="0.25">
      <c r="B60" s="58" t="s">
        <v>95</v>
      </c>
      <c r="C60" s="23" t="s">
        <v>101</v>
      </c>
      <c r="E60" s="2"/>
      <c r="F60" s="69">
        <v>0.8</v>
      </c>
      <c r="G60" s="51"/>
      <c r="H60" s="37"/>
      <c r="I60" s="37"/>
      <c r="J60" s="37"/>
      <c r="K60" s="37"/>
      <c r="L60" s="37"/>
      <c r="M60" s="37"/>
      <c r="N60" s="17"/>
      <c r="O60" s="17"/>
      <c r="P60" s="17"/>
      <c r="Q60" s="17"/>
      <c r="R60" s="17"/>
      <c r="S60" s="17"/>
      <c r="T60" s="17"/>
    </row>
    <row r="61" spans="2:20" s="4" customFormat="1" ht="15" customHeight="1" x14ac:dyDescent="0.25">
      <c r="B61" s="96" t="s">
        <v>96</v>
      </c>
      <c r="C61" s="23" t="s">
        <v>102</v>
      </c>
      <c r="E61" s="2" t="s">
        <v>51</v>
      </c>
      <c r="F61" s="85">
        <v>13</v>
      </c>
      <c r="G61" s="55">
        <f>2*F103*1000</f>
        <v>21.487245926284761</v>
      </c>
      <c r="H61" s="37"/>
      <c r="I61" s="37"/>
      <c r="J61" s="37"/>
      <c r="K61" s="37"/>
      <c r="L61" s="37"/>
      <c r="M61" s="37"/>
      <c r="N61" s="17"/>
      <c r="O61" s="17"/>
      <c r="P61" s="17"/>
      <c r="Q61" s="17"/>
      <c r="R61" s="17"/>
      <c r="S61" s="17"/>
      <c r="T61" s="17"/>
    </row>
    <row r="62" spans="2:20" s="4" customFormat="1" ht="15" customHeight="1" x14ac:dyDescent="0.25">
      <c r="B62" s="58" t="s">
        <v>143</v>
      </c>
      <c r="C62" s="23" t="s">
        <v>103</v>
      </c>
      <c r="E62" s="2" t="s">
        <v>144</v>
      </c>
      <c r="F62" s="57">
        <f>F60*(PI()*((F61/1000)/2)^2)*SQRT(2*H103*F58)</f>
        <v>7.2865457382634941E-4</v>
      </c>
      <c r="G62" s="51"/>
      <c r="H62" s="37"/>
      <c r="I62" s="37"/>
      <c r="J62" s="37"/>
      <c r="K62" s="37"/>
      <c r="L62" s="117" t="s">
        <v>239</v>
      </c>
      <c r="M62" s="117"/>
      <c r="N62" s="117"/>
      <c r="O62" s="117"/>
      <c r="P62" s="117"/>
      <c r="Q62" s="117"/>
      <c r="R62" s="17"/>
      <c r="S62" s="17"/>
      <c r="T62" s="17"/>
    </row>
    <row r="63" spans="2:20" s="4" customFormat="1" ht="15" customHeight="1" x14ac:dyDescent="0.25">
      <c r="B63" s="61" t="s">
        <v>98</v>
      </c>
      <c r="C63" s="23"/>
      <c r="E63" s="2"/>
      <c r="F63" s="86" t="str">
        <f>IF(F62&lt;=F51,"ok","not ok")</f>
        <v>ok</v>
      </c>
      <c r="G63" s="51"/>
      <c r="H63" s="91"/>
      <c r="L63" s="117"/>
      <c r="M63" s="117"/>
      <c r="N63" s="117"/>
      <c r="O63" s="117"/>
      <c r="P63" s="117"/>
      <c r="Q63" s="117"/>
      <c r="R63" s="17"/>
      <c r="S63" s="17"/>
      <c r="T63" s="17"/>
    </row>
    <row r="64" spans="2:20" s="4" customFormat="1" ht="15" customHeight="1" x14ac:dyDescent="0.25">
      <c r="L64" s="117"/>
      <c r="M64" s="117"/>
      <c r="N64" s="117"/>
      <c r="O64" s="117"/>
      <c r="P64" s="117"/>
      <c r="Q64" s="117"/>
      <c r="R64" s="17"/>
      <c r="S64" s="17"/>
      <c r="T64" s="17"/>
    </row>
    <row r="65" spans="2:20" s="4" customFormat="1" ht="15" customHeight="1" x14ac:dyDescent="0.25">
      <c r="B65" s="63" t="s">
        <v>92</v>
      </c>
      <c r="C65" s="23"/>
      <c r="E65" s="2"/>
      <c r="F65" s="60" t="s">
        <v>107</v>
      </c>
      <c r="L65" s="117"/>
      <c r="M65" s="117"/>
      <c r="N65" s="117"/>
      <c r="O65" s="117"/>
      <c r="P65" s="117"/>
      <c r="Q65" s="117"/>
      <c r="R65" s="17"/>
      <c r="S65" s="17"/>
      <c r="T65" s="17"/>
    </row>
    <row r="66" spans="2:20" s="4" customFormat="1" ht="15" customHeight="1" x14ac:dyDescent="0.25">
      <c r="B66" s="25" t="s">
        <v>139</v>
      </c>
      <c r="C66" s="23"/>
      <c r="D66" s="4" t="s">
        <v>137</v>
      </c>
      <c r="E66" s="2" t="s">
        <v>99</v>
      </c>
      <c r="F66" s="97">
        <f>MAX(F122:M127)</f>
        <v>13.578692862390854</v>
      </c>
      <c r="L66" s="117"/>
      <c r="M66" s="117"/>
      <c r="N66" s="117"/>
      <c r="O66" s="117"/>
      <c r="P66" s="117"/>
      <c r="Q66" s="117"/>
      <c r="R66" s="17"/>
      <c r="S66" s="17"/>
      <c r="T66" s="17"/>
    </row>
    <row r="67" spans="2:20" s="4" customFormat="1" ht="15" customHeight="1" x14ac:dyDescent="0.25">
      <c r="B67" s="61" t="s">
        <v>148</v>
      </c>
      <c r="C67" s="23"/>
      <c r="E67" s="2" t="s">
        <v>150</v>
      </c>
      <c r="F67" s="85">
        <v>3.31</v>
      </c>
      <c r="G67" s="55">
        <f>2*SQRT((F66/F58)/PI())</f>
        <v>2.6839747203082607</v>
      </c>
      <c r="L67" s="117"/>
      <c r="M67" s="117"/>
      <c r="N67" s="117"/>
      <c r="O67" s="117"/>
      <c r="P67" s="117"/>
      <c r="Q67" s="117"/>
      <c r="R67" s="17"/>
      <c r="S67" s="17"/>
      <c r="T67" s="17"/>
    </row>
    <row r="68" spans="2:20" s="4" customFormat="1" ht="15" hidden="1" customHeight="1" x14ac:dyDescent="0.25">
      <c r="B68" s="4" t="s">
        <v>93</v>
      </c>
      <c r="C68" s="23"/>
      <c r="E68" s="2"/>
      <c r="F68" s="85">
        <v>1</v>
      </c>
      <c r="L68" s="117"/>
      <c r="M68" s="117"/>
      <c r="N68" s="117"/>
      <c r="O68" s="117"/>
      <c r="P68" s="117"/>
      <c r="Q68" s="117"/>
      <c r="R68" s="17"/>
      <c r="S68" s="17"/>
      <c r="T68" s="17"/>
    </row>
    <row r="69" spans="2:20" s="4" customFormat="1" ht="15" hidden="1" customHeight="1" x14ac:dyDescent="0.25">
      <c r="B69" s="4" t="s">
        <v>134</v>
      </c>
      <c r="C69" s="23"/>
      <c r="E69" s="2" t="s">
        <v>99</v>
      </c>
      <c r="F69" s="52">
        <f>F70</f>
        <v>20.651761963197082</v>
      </c>
      <c r="L69" s="117"/>
      <c r="M69" s="117"/>
      <c r="N69" s="117"/>
      <c r="O69" s="117"/>
      <c r="P69" s="117"/>
      <c r="Q69" s="117"/>
      <c r="R69" s="17"/>
      <c r="S69" s="17"/>
      <c r="T69" s="17"/>
    </row>
    <row r="70" spans="2:20" s="4" customFormat="1" ht="15" customHeight="1" x14ac:dyDescent="0.25">
      <c r="B70" s="61" t="s">
        <v>149</v>
      </c>
      <c r="C70" s="23"/>
      <c r="E70" s="2" t="s">
        <v>99</v>
      </c>
      <c r="F70" s="52">
        <f>K98*F68</f>
        <v>20.651761963197082</v>
      </c>
      <c r="I70" s="91"/>
      <c r="L70" s="117"/>
      <c r="M70" s="117"/>
      <c r="N70" s="117"/>
      <c r="O70" s="117"/>
      <c r="P70" s="117"/>
      <c r="Q70" s="117"/>
      <c r="R70" s="17"/>
      <c r="S70" s="17"/>
      <c r="T70" s="17"/>
    </row>
    <row r="71" spans="2:20" s="4" customFormat="1" ht="15" customHeight="1" x14ac:dyDescent="0.25">
      <c r="B71" s="58" t="s">
        <v>156</v>
      </c>
      <c r="C71" s="23"/>
      <c r="E71" s="2" t="s">
        <v>99</v>
      </c>
      <c r="F71" s="52">
        <f>I98*F68</f>
        <v>4.302450408999392</v>
      </c>
      <c r="G71" s="91"/>
      <c r="I71" s="91"/>
      <c r="L71" s="117"/>
      <c r="M71" s="117"/>
      <c r="N71" s="117"/>
      <c r="O71" s="117"/>
      <c r="P71" s="117"/>
      <c r="Q71" s="117"/>
      <c r="R71" s="17"/>
      <c r="S71" s="17"/>
      <c r="T71" s="17"/>
    </row>
    <row r="72" spans="2:20" s="4" customFormat="1" ht="15" customHeight="1" x14ac:dyDescent="0.25">
      <c r="B72" s="61" t="s">
        <v>157</v>
      </c>
      <c r="C72" s="23"/>
      <c r="E72" s="2" t="s">
        <v>99</v>
      </c>
      <c r="F72" s="95">
        <f>SUM(F70:F71)</f>
        <v>24.954212372196473</v>
      </c>
      <c r="G72" s="91"/>
      <c r="I72" s="91"/>
      <c r="L72" s="117"/>
      <c r="M72" s="117"/>
      <c r="N72" s="117"/>
      <c r="O72" s="117"/>
      <c r="P72" s="117"/>
      <c r="Q72" s="117"/>
      <c r="R72" s="17"/>
      <c r="S72" s="17"/>
      <c r="T72" s="17"/>
    </row>
    <row r="73" spans="2:20" s="4" customFormat="1" ht="15" customHeight="1" x14ac:dyDescent="0.25">
      <c r="B73" s="61" t="s">
        <v>97</v>
      </c>
      <c r="C73" s="23"/>
      <c r="E73" s="2"/>
      <c r="F73" s="86" t="str">
        <f>IF((F69*F68)&gt;=F66,"ok","not ok")</f>
        <v>ok</v>
      </c>
      <c r="L73" s="117"/>
      <c r="M73" s="117"/>
      <c r="N73" s="117"/>
      <c r="O73" s="117"/>
      <c r="P73" s="117"/>
      <c r="Q73" s="117"/>
      <c r="R73" s="17"/>
      <c r="S73" s="17"/>
      <c r="T73" s="17"/>
    </row>
    <row r="74" spans="2:20" s="4" customFormat="1" ht="15" customHeight="1" x14ac:dyDescent="0.25">
      <c r="B74" s="59" t="s">
        <v>110</v>
      </c>
      <c r="C74" s="23"/>
      <c r="E74" s="2"/>
      <c r="F74" s="86" t="str">
        <f>IF(F70&gt;=F66,"ok","not ok")</f>
        <v>ok</v>
      </c>
      <c r="L74" s="117"/>
      <c r="M74" s="117"/>
      <c r="N74" s="117"/>
      <c r="O74" s="117"/>
      <c r="P74" s="117"/>
      <c r="Q74" s="117"/>
      <c r="R74" s="17"/>
      <c r="S74" s="17"/>
      <c r="T74" s="17"/>
    </row>
    <row r="75" spans="2:20" x14ac:dyDescent="0.25">
      <c r="B75" s="118" t="s">
        <v>158</v>
      </c>
      <c r="C75" s="118"/>
      <c r="D75" s="118"/>
      <c r="E75" s="118"/>
      <c r="F75" s="118"/>
      <c r="G75" s="118"/>
      <c r="H75" s="118"/>
      <c r="I75" s="118"/>
      <c r="J75" s="118"/>
      <c r="K75" s="118"/>
      <c r="L75" s="118"/>
      <c r="M75" s="118"/>
      <c r="N75" s="118"/>
      <c r="O75" s="118"/>
      <c r="P75" s="118"/>
      <c r="Q75" s="118"/>
    </row>
    <row r="80" spans="2:20" s="4" customFormat="1" ht="48" customHeight="1" x14ac:dyDescent="0.25">
      <c r="L80" s="88"/>
      <c r="M80" s="88"/>
      <c r="N80" s="88"/>
      <c r="O80" s="88"/>
      <c r="P80" s="18"/>
      <c r="Q80" s="18"/>
      <c r="R80" s="18"/>
      <c r="S80" s="18"/>
      <c r="T80" s="18"/>
    </row>
    <row r="81" spans="2:20" s="4" customFormat="1" ht="15" hidden="1" customHeight="1" x14ac:dyDescent="0.25">
      <c r="H81" s="114" t="s">
        <v>104</v>
      </c>
      <c r="I81" s="114"/>
      <c r="J81" s="114"/>
      <c r="P81" s="18"/>
      <c r="Q81" s="18"/>
      <c r="R81" s="18"/>
      <c r="S81" s="18"/>
      <c r="T81" s="18"/>
    </row>
    <row r="82" spans="2:20" s="4" customFormat="1" ht="15" hidden="1" customHeight="1" x14ac:dyDescent="0.25">
      <c r="H82" s="114"/>
      <c r="I82" s="114"/>
      <c r="J82" s="114"/>
      <c r="P82" s="18"/>
      <c r="Q82" s="18"/>
      <c r="R82" s="18"/>
      <c r="S82" s="18"/>
      <c r="T82" s="18"/>
    </row>
    <row r="83" spans="2:20" s="4" customFormat="1" ht="15" hidden="1" customHeight="1" x14ac:dyDescent="0.25">
      <c r="H83" s="30" t="s">
        <v>94</v>
      </c>
      <c r="I83" s="29" t="s">
        <v>105</v>
      </c>
      <c r="J83" s="29" t="s">
        <v>153</v>
      </c>
      <c r="K83" s="4" t="s">
        <v>154</v>
      </c>
      <c r="L83" s="4" t="s">
        <v>155</v>
      </c>
      <c r="P83" s="18"/>
      <c r="Q83" s="18"/>
      <c r="R83" s="18"/>
      <c r="S83" s="18"/>
      <c r="T83" s="18"/>
    </row>
    <row r="84" spans="2:20" s="4" customFormat="1" ht="15" hidden="1" customHeight="1" x14ac:dyDescent="0.25">
      <c r="H84" s="32">
        <v>3.1</v>
      </c>
      <c r="I84" s="31">
        <v>30</v>
      </c>
      <c r="J84" s="31">
        <f t="shared" ref="J84:J91" si="0">L84</f>
        <v>3.5102240688545927</v>
      </c>
      <c r="K84" s="4">
        <f>I84/H84</f>
        <v>9.67741935483871</v>
      </c>
      <c r="L84" s="91">
        <f>2*SQRT(K84/PI())</f>
        <v>3.5102240688545927</v>
      </c>
      <c r="P84" s="18"/>
      <c r="Q84" s="18"/>
      <c r="R84" s="18"/>
      <c r="S84" s="18"/>
      <c r="T84" s="18"/>
    </row>
    <row r="85" spans="2:20" s="4" customFormat="1" ht="15" hidden="1" customHeight="1" x14ac:dyDescent="0.25">
      <c r="B85" s="58"/>
      <c r="E85" s="2"/>
      <c r="H85" s="32">
        <v>2.9</v>
      </c>
      <c r="I85" s="31">
        <v>25</v>
      </c>
      <c r="J85" s="31">
        <f t="shared" si="0"/>
        <v>3.313035310988226</v>
      </c>
      <c r="K85" s="4">
        <f t="shared" ref="K85:K92" si="1">I85/H85</f>
        <v>8.6206896551724146</v>
      </c>
      <c r="L85" s="91">
        <f t="shared" ref="L85:L92" si="2">2*SQRT(K85/PI())</f>
        <v>3.313035310988226</v>
      </c>
      <c r="P85" s="18"/>
      <c r="Q85" s="18"/>
      <c r="R85" s="18"/>
      <c r="S85" s="18"/>
      <c r="T85" s="18"/>
    </row>
    <row r="86" spans="2:20" s="4" customFormat="1" ht="15" hidden="1" customHeight="1" x14ac:dyDescent="0.25">
      <c r="B86" s="58"/>
      <c r="E86" s="2"/>
      <c r="H86" s="32">
        <v>2.8</v>
      </c>
      <c r="I86" s="31">
        <v>10</v>
      </c>
      <c r="J86" s="31">
        <f t="shared" si="0"/>
        <v>2.1324361862292309</v>
      </c>
      <c r="K86" s="4">
        <f>I86/H86</f>
        <v>3.5714285714285716</v>
      </c>
      <c r="L86" s="91">
        <f>2*SQRT(K86/PI())</f>
        <v>2.1324361862292309</v>
      </c>
      <c r="P86" s="18"/>
      <c r="Q86" s="18"/>
      <c r="R86" s="18"/>
      <c r="S86" s="18"/>
      <c r="T86" s="18"/>
    </row>
    <row r="87" spans="2:20" s="4" customFormat="1" ht="15" hidden="1" customHeight="1" x14ac:dyDescent="0.25">
      <c r="B87" s="58"/>
      <c r="E87" s="2"/>
      <c r="H87" s="32">
        <v>2.65</v>
      </c>
      <c r="I87" s="31">
        <v>5</v>
      </c>
      <c r="J87" s="31">
        <f t="shared" si="0"/>
        <v>1.5499479874019162</v>
      </c>
      <c r="K87" s="4">
        <f t="shared" si="1"/>
        <v>1.8867924528301887</v>
      </c>
      <c r="L87" s="91">
        <f t="shared" si="2"/>
        <v>1.5499479874019162</v>
      </c>
      <c r="P87" s="18"/>
      <c r="Q87" s="18"/>
      <c r="R87" s="18"/>
      <c r="S87" s="18"/>
      <c r="T87" s="18"/>
    </row>
    <row r="88" spans="2:20" s="4" customFormat="1" ht="15" hidden="1" customHeight="1" x14ac:dyDescent="0.25">
      <c r="B88" s="58"/>
      <c r="E88" s="2"/>
      <c r="H88" s="32">
        <v>2.2000000000000002</v>
      </c>
      <c r="I88" s="31">
        <v>4</v>
      </c>
      <c r="J88" s="31">
        <f t="shared" si="0"/>
        <v>1.5215061585243645</v>
      </c>
      <c r="K88" s="4">
        <f t="shared" si="1"/>
        <v>1.8181818181818181</v>
      </c>
      <c r="L88" s="91">
        <f t="shared" si="2"/>
        <v>1.5215061585243645</v>
      </c>
      <c r="P88" s="18"/>
      <c r="Q88" s="18"/>
      <c r="R88" s="18"/>
      <c r="S88" s="18"/>
      <c r="T88" s="18"/>
    </row>
    <row r="89" spans="2:20" s="4" customFormat="1" ht="15" hidden="1" customHeight="1" x14ac:dyDescent="0.25">
      <c r="B89" s="58"/>
      <c r="E89" s="2"/>
      <c r="H89" s="32">
        <v>1.76</v>
      </c>
      <c r="I89" s="31">
        <v>3</v>
      </c>
      <c r="J89" s="31">
        <f t="shared" si="0"/>
        <v>1.4731920032792214</v>
      </c>
      <c r="K89" s="4">
        <f t="shared" si="1"/>
        <v>1.7045454545454546</v>
      </c>
      <c r="L89" s="91">
        <f t="shared" si="2"/>
        <v>1.4731920032792214</v>
      </c>
      <c r="P89" s="18"/>
      <c r="Q89" s="18"/>
      <c r="R89" s="18"/>
      <c r="S89" s="18"/>
      <c r="T89" s="18"/>
    </row>
    <row r="90" spans="2:20" s="4" customFormat="1" ht="15" hidden="1" customHeight="1" x14ac:dyDescent="0.25">
      <c r="B90" s="58"/>
      <c r="E90" s="2"/>
      <c r="H90" s="32">
        <v>1.7350000000000001</v>
      </c>
      <c r="I90" s="31">
        <v>2</v>
      </c>
      <c r="J90" s="31">
        <f t="shared" si="0"/>
        <v>1.211491349849843</v>
      </c>
      <c r="K90" s="4">
        <f t="shared" si="1"/>
        <v>1.1527377521613833</v>
      </c>
      <c r="L90" s="91">
        <f t="shared" si="2"/>
        <v>1.211491349849843</v>
      </c>
      <c r="P90" s="18"/>
      <c r="Q90" s="18"/>
      <c r="R90" s="18"/>
      <c r="S90" s="18"/>
      <c r="T90" s="18"/>
    </row>
    <row r="91" spans="2:20" s="4" customFormat="1" ht="15" hidden="1" customHeight="1" x14ac:dyDescent="0.25">
      <c r="B91" s="58"/>
      <c r="E91" s="2"/>
      <c r="H91" s="32">
        <v>1.42</v>
      </c>
      <c r="I91" s="31">
        <v>1</v>
      </c>
      <c r="J91" s="31">
        <f t="shared" si="0"/>
        <v>0.94691476211689896</v>
      </c>
      <c r="K91" s="4">
        <f t="shared" si="1"/>
        <v>0.70422535211267612</v>
      </c>
      <c r="L91" s="91">
        <f t="shared" si="2"/>
        <v>0.94691476211689896</v>
      </c>
      <c r="P91" s="18"/>
      <c r="Q91" s="18"/>
      <c r="R91" s="18"/>
      <c r="S91" s="18"/>
      <c r="T91" s="18"/>
    </row>
    <row r="92" spans="2:20" s="4" customFormat="1" ht="15" hidden="1" customHeight="1" x14ac:dyDescent="0.25">
      <c r="B92" s="58"/>
      <c r="E92" s="2"/>
      <c r="H92" s="32">
        <v>0.82</v>
      </c>
      <c r="I92" s="31">
        <v>0.45</v>
      </c>
      <c r="J92" s="31">
        <f>L92</f>
        <v>0.83590012468728792</v>
      </c>
      <c r="K92" s="4">
        <f t="shared" si="1"/>
        <v>0.54878048780487809</v>
      </c>
      <c r="L92" s="91">
        <f t="shared" si="2"/>
        <v>0.83590012468728792</v>
      </c>
      <c r="P92" s="18"/>
      <c r="Q92" s="18"/>
      <c r="R92" s="18"/>
      <c r="S92" s="18"/>
      <c r="T92" s="18"/>
    </row>
    <row r="93" spans="2:20" s="4" customFormat="1" ht="15" hidden="1" customHeight="1" x14ac:dyDescent="0.25">
      <c r="P93" s="18"/>
      <c r="Q93" s="18"/>
      <c r="R93" s="18"/>
      <c r="S93" s="18"/>
      <c r="T93" s="18"/>
    </row>
    <row r="94" spans="2:20" s="4" customFormat="1" ht="15" hidden="1" customHeight="1" x14ac:dyDescent="0.25">
      <c r="P94" s="18"/>
      <c r="Q94" s="18"/>
      <c r="R94" s="18"/>
      <c r="S94" s="18"/>
      <c r="T94" s="18"/>
    </row>
    <row r="95" spans="2:20" hidden="1" x14ac:dyDescent="0.25">
      <c r="B95" s="59"/>
      <c r="C95" s="4"/>
      <c r="D95" s="4"/>
      <c r="I95" s="1"/>
      <c r="J95" s="4"/>
      <c r="K95" s="115" t="s">
        <v>46</v>
      </c>
      <c r="L95" s="115"/>
      <c r="M95" s="115"/>
      <c r="N95" s="115"/>
      <c r="O95" s="33" t="s">
        <v>68</v>
      </c>
      <c r="P95" s="33" t="s">
        <v>65</v>
      </c>
      <c r="Q95" s="33" t="s">
        <v>66</v>
      </c>
      <c r="R95" s="17" t="s">
        <v>62</v>
      </c>
      <c r="S95" s="17" t="s">
        <v>67</v>
      </c>
    </row>
    <row r="96" spans="2:20" hidden="1" x14ac:dyDescent="0.25">
      <c r="B96" s="59"/>
      <c r="C96" s="4"/>
      <c r="D96" s="4"/>
      <c r="F96" s="93" t="s">
        <v>152</v>
      </c>
      <c r="G96" s="35" t="s">
        <v>57</v>
      </c>
      <c r="H96" s="93" t="s">
        <v>152</v>
      </c>
      <c r="I96" s="35" t="s">
        <v>57</v>
      </c>
      <c r="J96" s="93" t="s">
        <v>152</v>
      </c>
      <c r="K96" s="35" t="s">
        <v>57</v>
      </c>
      <c r="L96" s="35" t="s">
        <v>48</v>
      </c>
      <c r="M96" s="35" t="s">
        <v>47</v>
      </c>
      <c r="N96" s="35" t="s">
        <v>56</v>
      </c>
      <c r="O96" s="34" t="s">
        <v>59</v>
      </c>
      <c r="P96" s="34">
        <v>1</v>
      </c>
      <c r="Q96" s="34">
        <v>0.62</v>
      </c>
      <c r="R96" s="34">
        <v>1</v>
      </c>
      <c r="S96" s="34">
        <v>0.52</v>
      </c>
    </row>
    <row r="97" spans="2:19" hidden="1" x14ac:dyDescent="0.25">
      <c r="B97" s="59"/>
      <c r="C97" s="4"/>
      <c r="D97" s="4"/>
      <c r="F97" s="35" t="s">
        <v>50</v>
      </c>
      <c r="G97" s="35" t="s">
        <v>58</v>
      </c>
      <c r="H97" s="35" t="s">
        <v>50</v>
      </c>
      <c r="I97" s="35" t="s">
        <v>58</v>
      </c>
      <c r="J97" s="35" t="s">
        <v>50</v>
      </c>
      <c r="K97" s="35" t="s">
        <v>58</v>
      </c>
      <c r="L97" s="35" t="s">
        <v>52</v>
      </c>
      <c r="M97" s="35" t="s">
        <v>50</v>
      </c>
      <c r="N97" s="35" t="s">
        <v>50</v>
      </c>
      <c r="O97" s="34" t="s">
        <v>60</v>
      </c>
      <c r="P97" s="34">
        <v>0.98</v>
      </c>
      <c r="Q97" s="34">
        <v>0.98</v>
      </c>
      <c r="R97" s="34">
        <v>0.8</v>
      </c>
      <c r="S97" s="34">
        <v>0.98</v>
      </c>
    </row>
    <row r="98" spans="2:19" hidden="1" x14ac:dyDescent="0.25">
      <c r="B98" s="59"/>
      <c r="C98" s="4"/>
      <c r="D98" s="4"/>
      <c r="F98" s="94">
        <f>F56</f>
        <v>2.9</v>
      </c>
      <c r="G98" s="38">
        <f>L98*F98</f>
        <v>24.954212372196473</v>
      </c>
      <c r="H98" s="94">
        <f>F56-F58</f>
        <v>0.5</v>
      </c>
      <c r="I98" s="38">
        <f>L98*H98</f>
        <v>4.302450408999392</v>
      </c>
      <c r="J98" s="94">
        <f>F58</f>
        <v>2.4</v>
      </c>
      <c r="K98" s="38">
        <f>L98*J98</f>
        <v>20.651761963197082</v>
      </c>
      <c r="L98" s="38">
        <f>PI()*N98^2</f>
        <v>8.604900817998784</v>
      </c>
      <c r="M98" s="38">
        <f>F67</f>
        <v>3.31</v>
      </c>
      <c r="N98" s="38">
        <f>M98/2</f>
        <v>1.655</v>
      </c>
      <c r="O98" s="34" t="s">
        <v>61</v>
      </c>
      <c r="P98" s="34">
        <f>P96*P97</f>
        <v>0.98</v>
      </c>
      <c r="Q98" s="34">
        <f>Q96*Q97</f>
        <v>0.60760000000000003</v>
      </c>
      <c r="R98" s="36">
        <f>R96*R97</f>
        <v>0.8</v>
      </c>
      <c r="S98" s="34">
        <f>S96*S97</f>
        <v>0.50960000000000005</v>
      </c>
    </row>
    <row r="99" spans="2:19" hidden="1" x14ac:dyDescent="0.25">
      <c r="B99" s="59"/>
      <c r="C99" s="4"/>
      <c r="D99" s="4"/>
      <c r="E99" s="4"/>
      <c r="J99" s="37"/>
      <c r="K99" s="37"/>
      <c r="L99" s="37"/>
      <c r="M99" s="37"/>
      <c r="N99" s="37"/>
    </row>
    <row r="100" spans="2:19" hidden="1" x14ac:dyDescent="0.25">
      <c r="B100" s="59"/>
      <c r="C100" s="4"/>
      <c r="D100" s="4"/>
      <c r="E100" s="4"/>
      <c r="F100" s="116" t="s">
        <v>49</v>
      </c>
      <c r="G100" s="116"/>
      <c r="H100" s="116"/>
      <c r="I100" s="116"/>
      <c r="J100" s="116"/>
      <c r="K100" s="116"/>
      <c r="L100" s="116"/>
      <c r="M100" s="37"/>
      <c r="N100" s="37"/>
    </row>
    <row r="101" spans="2:19" ht="17.25" hidden="1" x14ac:dyDescent="0.25">
      <c r="B101" s="59"/>
      <c r="C101" s="4"/>
      <c r="D101" s="4"/>
      <c r="E101" s="4"/>
      <c r="F101" s="39" t="s">
        <v>56</v>
      </c>
      <c r="G101" s="34" t="s">
        <v>69</v>
      </c>
      <c r="H101" s="40" t="s">
        <v>55</v>
      </c>
      <c r="I101" s="34" t="s">
        <v>70</v>
      </c>
      <c r="J101" s="34" t="s">
        <v>70</v>
      </c>
      <c r="K101" s="40" t="s">
        <v>71</v>
      </c>
      <c r="L101" s="40" t="s">
        <v>71</v>
      </c>
      <c r="M101" s="37"/>
      <c r="N101" s="37"/>
    </row>
    <row r="102" spans="2:19" ht="17.25" hidden="1" x14ac:dyDescent="0.25">
      <c r="B102" s="59"/>
      <c r="C102" s="4"/>
      <c r="D102" s="4"/>
      <c r="E102" s="4"/>
      <c r="F102" s="39" t="s">
        <v>50</v>
      </c>
      <c r="G102" s="34" t="s">
        <v>52</v>
      </c>
      <c r="H102" s="40" t="s">
        <v>53</v>
      </c>
      <c r="I102" s="34" t="s">
        <v>50</v>
      </c>
      <c r="J102" s="34" t="s">
        <v>51</v>
      </c>
      <c r="K102" s="40" t="s">
        <v>72</v>
      </c>
      <c r="L102" s="39" t="s">
        <v>54</v>
      </c>
      <c r="M102" s="37"/>
      <c r="N102" s="37"/>
    </row>
    <row r="103" spans="2:19" hidden="1" x14ac:dyDescent="0.25">
      <c r="B103" s="59"/>
      <c r="C103" s="4"/>
      <c r="D103" s="4"/>
      <c r="E103" s="4"/>
      <c r="F103" s="92">
        <f>SQRT(G103/PI())</f>
        <v>1.074362296314238E-2</v>
      </c>
      <c r="G103" s="92">
        <f>K103/(F60*SQRT(2*H103*I103))</f>
        <v>3.626196966672726E-4</v>
      </c>
      <c r="H103" s="34">
        <v>9.81</v>
      </c>
      <c r="I103" s="34">
        <f>F58</f>
        <v>2.4</v>
      </c>
      <c r="J103" s="41">
        <f>I103*1000</f>
        <v>2400</v>
      </c>
      <c r="K103" s="42">
        <f>F51</f>
        <v>1.9906572945000002E-3</v>
      </c>
      <c r="L103" s="34">
        <f>K103*1000</f>
        <v>1.9906572945000003</v>
      </c>
      <c r="M103" s="37"/>
      <c r="N103" s="18"/>
    </row>
    <row r="104" spans="2:19" hidden="1" x14ac:dyDescent="0.25">
      <c r="B104" s="58"/>
      <c r="G104" s="6"/>
      <c r="J104" s="6"/>
      <c r="K104" s="6"/>
      <c r="L104" s="6"/>
      <c r="M104" s="6"/>
      <c r="N104" s="6"/>
    </row>
    <row r="105" spans="2:19" hidden="1" x14ac:dyDescent="0.25">
      <c r="B105" s="58"/>
    </row>
    <row r="106" spans="2:19" hidden="1" x14ac:dyDescent="0.25">
      <c r="B106" s="59"/>
      <c r="C106" s="2"/>
      <c r="D106" s="2"/>
      <c r="E106" s="2"/>
      <c r="F106" s="110" t="s">
        <v>37</v>
      </c>
      <c r="G106" s="110"/>
      <c r="H106" s="110"/>
      <c r="I106" s="110"/>
      <c r="J106" s="110"/>
      <c r="K106" s="110"/>
      <c r="L106" s="110"/>
      <c r="M106" s="110"/>
    </row>
    <row r="107" spans="2:19" hidden="1" x14ac:dyDescent="0.25">
      <c r="B107" s="59"/>
      <c r="C107" s="4"/>
      <c r="D107" s="4"/>
      <c r="E107" s="4"/>
      <c r="F107" s="4"/>
      <c r="G107" s="4"/>
      <c r="H107" s="4"/>
      <c r="I107" s="4"/>
      <c r="J107" s="4"/>
      <c r="K107" s="4"/>
      <c r="L107" s="4"/>
      <c r="M107" s="4"/>
    </row>
    <row r="108" spans="2:19" hidden="1" x14ac:dyDescent="0.25">
      <c r="B108" s="119" t="s">
        <v>63</v>
      </c>
      <c r="C108" s="110" t="s">
        <v>42</v>
      </c>
      <c r="D108" s="2">
        <v>2</v>
      </c>
      <c r="E108" s="4"/>
      <c r="F108" s="8">
        <f t="shared" ref="F108:M108" si="3">(2.78*$F$38*G13*$F$37/10000)/1000</f>
        <v>2.7595391582999999E-3</v>
      </c>
      <c r="G108" s="8">
        <f t="shared" si="3"/>
        <v>1.9505537373E-3</v>
      </c>
      <c r="H108" s="8">
        <f t="shared" si="3"/>
        <v>1.6179708419999999E-3</v>
      </c>
      <c r="I108" s="8">
        <f t="shared" si="3"/>
        <v>1.1955006776999998E-3</v>
      </c>
      <c r="J108" s="8">
        <f t="shared" si="3"/>
        <v>8.7909749081999979E-4</v>
      </c>
      <c r="K108" s="8">
        <f t="shared" si="3"/>
        <v>5.1954841482000007E-4</v>
      </c>
      <c r="L108" s="8">
        <f t="shared" si="3"/>
        <v>3.6134682137999995E-4</v>
      </c>
      <c r="M108" s="8">
        <f t="shared" si="3"/>
        <v>2.4089788092000004E-4</v>
      </c>
    </row>
    <row r="109" spans="2:19" hidden="1" x14ac:dyDescent="0.25">
      <c r="B109" s="119"/>
      <c r="C109" s="110"/>
      <c r="D109" s="2">
        <v>10</v>
      </c>
      <c r="E109" s="4"/>
      <c r="F109" s="8">
        <f t="shared" ref="F109:M113" si="4">(2.78*$F$38*G15*$F$37/10000)/1000</f>
        <v>5.0786306984999998E-3</v>
      </c>
      <c r="G109" s="8">
        <f t="shared" si="4"/>
        <v>3.5685245792999999E-3</v>
      </c>
      <c r="H109" s="8">
        <f t="shared" si="4"/>
        <v>2.9393136963000006E-3</v>
      </c>
      <c r="I109" s="8">
        <f t="shared" si="4"/>
        <v>2.1393170021999997E-3</v>
      </c>
      <c r="J109" s="8">
        <f t="shared" si="4"/>
        <v>1.5550497537E-3</v>
      </c>
      <c r="K109" s="8">
        <f t="shared" si="4"/>
        <v>9.0786141689999991E-4</v>
      </c>
      <c r="L109" s="8">
        <f t="shared" si="4"/>
        <v>6.2471651955000001E-4</v>
      </c>
      <c r="M109" s="8">
        <f t="shared" si="4"/>
        <v>4.1258256470999994E-4</v>
      </c>
    </row>
    <row r="110" spans="2:19" hidden="1" x14ac:dyDescent="0.25">
      <c r="B110" s="119"/>
      <c r="C110" s="110"/>
      <c r="D110" s="2">
        <v>20</v>
      </c>
      <c r="E110" s="4"/>
      <c r="F110" s="8">
        <f t="shared" si="4"/>
        <v>6.2381764685999997E-3</v>
      </c>
      <c r="G110" s="8">
        <f t="shared" si="4"/>
        <v>4.3595325465000008E-3</v>
      </c>
      <c r="H110" s="8">
        <f t="shared" si="4"/>
        <v>3.5775133061999994E-3</v>
      </c>
      <c r="I110" s="8">
        <f t="shared" si="4"/>
        <v>2.5977420740999997E-3</v>
      </c>
      <c r="J110" s="8">
        <f t="shared" si="4"/>
        <v>1.887632649E-3</v>
      </c>
      <c r="K110" s="8">
        <f t="shared" si="4"/>
        <v>1.0966246818E-3</v>
      </c>
      <c r="L110" s="8">
        <f t="shared" si="4"/>
        <v>7.4786207808E-4</v>
      </c>
      <c r="M110" s="8">
        <f t="shared" si="4"/>
        <v>4.8988561604999998E-4</v>
      </c>
    </row>
    <row r="111" spans="2:19" hidden="1" x14ac:dyDescent="0.25">
      <c r="B111" s="119"/>
      <c r="C111" s="110"/>
      <c r="D111" s="2">
        <v>30</v>
      </c>
      <c r="E111" s="4"/>
      <c r="F111" s="8">
        <f t="shared" si="4"/>
        <v>6.9752520743999995E-3</v>
      </c>
      <c r="G111" s="8">
        <f t="shared" si="4"/>
        <v>4.8539125259999989E-3</v>
      </c>
      <c r="H111" s="8">
        <f t="shared" si="4"/>
        <v>3.9909947436000005E-3</v>
      </c>
      <c r="I111" s="8">
        <f t="shared" si="4"/>
        <v>2.8853813349000003E-3</v>
      </c>
      <c r="J111" s="8">
        <f t="shared" si="4"/>
        <v>2.0853846407999995E-3</v>
      </c>
      <c r="K111" s="8">
        <f t="shared" si="4"/>
        <v>1.2044894045999998E-3</v>
      </c>
      <c r="L111" s="8">
        <f t="shared" si="4"/>
        <v>8.2336738404000008E-4</v>
      </c>
      <c r="M111" s="8">
        <f t="shared" si="4"/>
        <v>5.3842474130999995E-4</v>
      </c>
    </row>
    <row r="112" spans="2:19" hidden="1" x14ac:dyDescent="0.25">
      <c r="B112" s="119"/>
      <c r="C112" s="110"/>
      <c r="D112" s="2">
        <v>40</v>
      </c>
      <c r="E112" s="4"/>
      <c r="F112" s="8">
        <f t="shared" si="4"/>
        <v>7.5145756883999992E-3</v>
      </c>
      <c r="G112" s="8">
        <f t="shared" si="4"/>
        <v>5.2224503289000001E-3</v>
      </c>
      <c r="H112" s="8">
        <f t="shared" si="4"/>
        <v>4.2786340043999994E-3</v>
      </c>
      <c r="I112" s="8">
        <f t="shared" si="4"/>
        <v>3.0921220536E-3</v>
      </c>
      <c r="J112" s="8">
        <f t="shared" si="4"/>
        <v>2.2381929980999997E-3</v>
      </c>
      <c r="K112" s="8">
        <f t="shared" si="4"/>
        <v>1.2943766736000001E-3</v>
      </c>
      <c r="L112" s="8">
        <f t="shared" si="4"/>
        <v>8.7909749081999979E-4</v>
      </c>
      <c r="M112" s="8">
        <f t="shared" si="4"/>
        <v>5.7437964890999992E-4</v>
      </c>
    </row>
    <row r="113" spans="2:13" ht="15.75" hidden="1" thickBot="1" x14ac:dyDescent="0.3">
      <c r="B113" s="120"/>
      <c r="C113" s="111"/>
      <c r="D113" s="7">
        <v>50</v>
      </c>
      <c r="E113" s="5"/>
      <c r="F113" s="8">
        <f t="shared" si="4"/>
        <v>7.9550233064999993E-3</v>
      </c>
      <c r="G113" s="8">
        <f t="shared" si="4"/>
        <v>5.5280670434999998E-3</v>
      </c>
      <c r="H113" s="8">
        <f t="shared" si="4"/>
        <v>4.5303183575999993E-3</v>
      </c>
      <c r="I113" s="8">
        <f t="shared" si="4"/>
        <v>3.2718965916000002E-3</v>
      </c>
      <c r="J113" s="8">
        <f t="shared" si="4"/>
        <v>2.3550464478000006E-3</v>
      </c>
      <c r="K113" s="8">
        <f t="shared" si="4"/>
        <v>1.3572977619000001E-3</v>
      </c>
      <c r="L113" s="8">
        <f t="shared" si="4"/>
        <v>9.2583887070000006E-4</v>
      </c>
      <c r="M113" s="8">
        <f t="shared" si="4"/>
        <v>6.0134582961000004E-4</v>
      </c>
    </row>
    <row r="114" spans="2:13" hidden="1" x14ac:dyDescent="0.25">
      <c r="B114" s="59"/>
      <c r="C114" s="4"/>
      <c r="D114" s="4"/>
      <c r="E114" s="4"/>
      <c r="F114" s="4"/>
      <c r="G114" s="4"/>
      <c r="H114" s="4"/>
      <c r="I114" s="4"/>
      <c r="J114" s="4"/>
      <c r="K114" s="4"/>
      <c r="L114" s="4"/>
      <c r="M114" s="4"/>
    </row>
    <row r="115" spans="2:13" hidden="1" x14ac:dyDescent="0.25">
      <c r="B115" s="108" t="s">
        <v>109</v>
      </c>
      <c r="C115" s="110" t="s">
        <v>64</v>
      </c>
      <c r="D115" s="2">
        <v>2</v>
      </c>
      <c r="E115" s="4"/>
      <c r="F115" s="9">
        <f>(F108-$F$51)*G$10*60</f>
        <v>0.46132911827999984</v>
      </c>
      <c r="G115" s="9">
        <f t="shared" ref="F115:M120" si="5">(G108-$F$51)*H$10*60</f>
        <v>-4.8124268640000259E-2</v>
      </c>
      <c r="H115" s="9">
        <f t="shared" si="5"/>
        <v>-0.67083561450000051</v>
      </c>
      <c r="I115" s="9">
        <f t="shared" si="5"/>
        <v>-2.8625638204800015</v>
      </c>
      <c r="J115" s="9">
        <f t="shared" si="5"/>
        <v>-8.0032305864960041</v>
      </c>
      <c r="K115" s="9">
        <f t="shared" si="5"/>
        <v>-31.775951801088002</v>
      </c>
      <c r="L115" s="9">
        <f t="shared" si="5"/>
        <v>-70.386212438784014</v>
      </c>
      <c r="M115" s="9">
        <f t="shared" si="5"/>
        <v>-151.17921333331199</v>
      </c>
    </row>
    <row r="116" spans="2:13" hidden="1" x14ac:dyDescent="0.25">
      <c r="B116" s="108"/>
      <c r="C116" s="110"/>
      <c r="D116" s="2">
        <v>10</v>
      </c>
      <c r="E116" s="4"/>
      <c r="F116" s="9">
        <f t="shared" si="5"/>
        <v>1.8527840423999997</v>
      </c>
      <c r="G116" s="9">
        <f t="shared" si="5"/>
        <v>1.8934407417599997</v>
      </c>
      <c r="H116" s="9">
        <f t="shared" si="5"/>
        <v>1.7075815232400007</v>
      </c>
      <c r="I116" s="9">
        <f t="shared" si="5"/>
        <v>0.53517494771999818</v>
      </c>
      <c r="J116" s="9">
        <f t="shared" si="5"/>
        <v>-3.1363742937600017</v>
      </c>
      <c r="K116" s="9">
        <f t="shared" si="5"/>
        <v>-23.388390956160006</v>
      </c>
      <c r="L116" s="9">
        <f t="shared" si="5"/>
        <v>-59.008641477840008</v>
      </c>
      <c r="M116" s="9">
        <f t="shared" si="5"/>
        <v>-136.34565665385603</v>
      </c>
    </row>
    <row r="117" spans="2:13" hidden="1" x14ac:dyDescent="0.25">
      <c r="B117" s="108"/>
      <c r="C117" s="110"/>
      <c r="D117" s="2">
        <v>20</v>
      </c>
      <c r="E117" s="4"/>
      <c r="F117" s="9">
        <f t="shared" si="5"/>
        <v>2.54851150446</v>
      </c>
      <c r="G117" s="9">
        <f t="shared" si="5"/>
        <v>2.8426503024000005</v>
      </c>
      <c r="H117" s="9">
        <f t="shared" si="5"/>
        <v>2.8563408210599985</v>
      </c>
      <c r="I117" s="9">
        <f t="shared" si="5"/>
        <v>2.185505206559998</v>
      </c>
      <c r="J117" s="9">
        <f t="shared" si="5"/>
        <v>-0.74177744760000142</v>
      </c>
      <c r="K117" s="9">
        <f t="shared" si="5"/>
        <v>-19.311104434320004</v>
      </c>
      <c r="L117" s="9">
        <f t="shared" si="5"/>
        <v>-53.688753349344005</v>
      </c>
      <c r="M117" s="9">
        <f t="shared" si="5"/>
        <v>-129.66667301808002</v>
      </c>
    </row>
    <row r="118" spans="2:13" hidden="1" x14ac:dyDescent="0.25">
      <c r="B118" s="108"/>
      <c r="C118" s="110"/>
      <c r="D118" s="2">
        <v>30</v>
      </c>
      <c r="E118" s="4"/>
      <c r="F118" s="9">
        <f t="shared" si="5"/>
        <v>2.9907568679399996</v>
      </c>
      <c r="G118" s="9">
        <f t="shared" si="5"/>
        <v>3.4359062777999982</v>
      </c>
      <c r="H118" s="9">
        <f t="shared" si="5"/>
        <v>3.6006074083800002</v>
      </c>
      <c r="I118" s="9">
        <f t="shared" si="5"/>
        <v>3.2210065454400003</v>
      </c>
      <c r="J118" s="9">
        <f t="shared" si="5"/>
        <v>0.68203689335999473</v>
      </c>
      <c r="K118" s="9">
        <f t="shared" si="5"/>
        <v>-16.98122642184001</v>
      </c>
      <c r="L118" s="9">
        <f t="shared" si="5"/>
        <v>-50.426924131871999</v>
      </c>
      <c r="M118" s="9">
        <f t="shared" si="5"/>
        <v>-125.47289259561602</v>
      </c>
    </row>
    <row r="119" spans="2:13" hidden="1" x14ac:dyDescent="0.25">
      <c r="B119" s="108"/>
      <c r="C119" s="110"/>
      <c r="D119" s="2">
        <v>40</v>
      </c>
      <c r="E119" s="4"/>
      <c r="F119" s="9">
        <f t="shared" si="5"/>
        <v>3.3143510363399993</v>
      </c>
      <c r="G119" s="9">
        <f t="shared" si="5"/>
        <v>3.8781516412799997</v>
      </c>
      <c r="H119" s="9">
        <f t="shared" si="5"/>
        <v>4.1183580778199991</v>
      </c>
      <c r="I119" s="9">
        <f t="shared" si="5"/>
        <v>3.9652731327599988</v>
      </c>
      <c r="J119" s="9">
        <f t="shared" si="5"/>
        <v>1.7822570659199968</v>
      </c>
      <c r="K119" s="9">
        <f t="shared" si="5"/>
        <v>-15.039661411440003</v>
      </c>
      <c r="L119" s="9">
        <f t="shared" si="5"/>
        <v>-48.019383518976021</v>
      </c>
      <c r="M119" s="9">
        <f t="shared" si="5"/>
        <v>-122.36638857897603</v>
      </c>
    </row>
    <row r="120" spans="2:13" ht="15.75" hidden="1" thickBot="1" x14ac:dyDescent="0.3">
      <c r="B120" s="109"/>
      <c r="C120" s="111"/>
      <c r="D120" s="7">
        <v>50</v>
      </c>
      <c r="E120" s="5"/>
      <c r="F120" s="9">
        <f t="shared" si="5"/>
        <v>3.5786196071999989</v>
      </c>
      <c r="G120" s="9">
        <f t="shared" si="5"/>
        <v>4.2448916988000001</v>
      </c>
      <c r="H120" s="9">
        <f t="shared" si="5"/>
        <v>4.5713899135799991</v>
      </c>
      <c r="I120" s="9">
        <f t="shared" si="5"/>
        <v>4.6124614695599995</v>
      </c>
      <c r="J120" s="9">
        <f t="shared" si="5"/>
        <v>2.6236019037600027</v>
      </c>
      <c r="K120" s="9">
        <f>(K113-$F$51)*L$10*60</f>
        <v>-13.680565904160003</v>
      </c>
      <c r="L120" s="9">
        <f t="shared" si="5"/>
        <v>-46.000155908160011</v>
      </c>
      <c r="M120" s="9">
        <f t="shared" si="5"/>
        <v>-120.03651056649601</v>
      </c>
    </row>
    <row r="121" spans="2:13" hidden="1" x14ac:dyDescent="0.25"/>
    <row r="122" spans="2:13" hidden="1" x14ac:dyDescent="0.25">
      <c r="B122" s="108" t="s">
        <v>147</v>
      </c>
      <c r="C122" s="110" t="s">
        <v>64</v>
      </c>
      <c r="D122" s="2">
        <v>2</v>
      </c>
      <c r="E122" s="4"/>
      <c r="F122" s="9">
        <f>(F108-$F$62)*G$10*60</f>
        <v>1.2185307506841903</v>
      </c>
      <c r="G122" s="9">
        <f t="shared" ref="F122:M127" si="6">(G108-$F$62)*H$10*60</f>
        <v>1.4662789961683809</v>
      </c>
      <c r="H122" s="9">
        <f t="shared" si="6"/>
        <v>1.6007692827125708</v>
      </c>
      <c r="I122" s="9">
        <f t="shared" si="6"/>
        <v>1.6806459739451414</v>
      </c>
      <c r="J122" s="9">
        <f t="shared" si="6"/>
        <v>1.0831890023542827</v>
      </c>
      <c r="K122" s="9">
        <f t="shared" si="6"/>
        <v>-4.5166930345371465</v>
      </c>
      <c r="L122" s="9">
        <f t="shared" si="6"/>
        <v>-15.867694905682297</v>
      </c>
      <c r="M122" s="9">
        <f t="shared" si="6"/>
        <v>-42.142178267108584</v>
      </c>
    </row>
    <row r="123" spans="2:13" hidden="1" x14ac:dyDescent="0.25">
      <c r="B123" s="108"/>
      <c r="C123" s="110"/>
      <c r="D123" s="2">
        <v>10</v>
      </c>
      <c r="E123" s="4"/>
      <c r="F123" s="9">
        <f>(F109-$F$62)*G$10*60</f>
        <v>2.6099856748041903</v>
      </c>
      <c r="G123" s="9">
        <f t="shared" si="6"/>
        <v>3.4078440065683808</v>
      </c>
      <c r="H123" s="9">
        <f t="shared" si="6"/>
        <v>3.9791864204525722</v>
      </c>
      <c r="I123" s="9">
        <f t="shared" si="6"/>
        <v>5.0783847421451416</v>
      </c>
      <c r="J123" s="9">
        <f t="shared" si="6"/>
        <v>5.9500452950902831</v>
      </c>
      <c r="K123" s="9">
        <f t="shared" si="6"/>
        <v>3.8708678103908509</v>
      </c>
      <c r="L123" s="9">
        <f t="shared" si="6"/>
        <v>-4.4901239447382935</v>
      </c>
      <c r="M123" s="9">
        <f t="shared" si="6"/>
        <v>-27.308621587652592</v>
      </c>
    </row>
    <row r="124" spans="2:13" hidden="1" x14ac:dyDescent="0.25">
      <c r="B124" s="108"/>
      <c r="C124" s="110"/>
      <c r="D124" s="2">
        <v>20</v>
      </c>
      <c r="E124" s="4"/>
      <c r="F124" s="9">
        <f>(F110-$F$62)*G$10*60</f>
        <v>3.3057131368641901</v>
      </c>
      <c r="G124" s="9">
        <f t="shared" si="6"/>
        <v>4.3570535672083821</v>
      </c>
      <c r="H124" s="9">
        <f t="shared" si="6"/>
        <v>5.1279457182725698</v>
      </c>
      <c r="I124" s="9">
        <f t="shared" si="6"/>
        <v>6.7287150009851411</v>
      </c>
      <c r="J124" s="9">
        <f t="shared" si="6"/>
        <v>8.3446421412502829</v>
      </c>
      <c r="K124" s="9">
        <f t="shared" si="6"/>
        <v>7.9481543322308523</v>
      </c>
      <c r="L124" s="9">
        <f t="shared" si="6"/>
        <v>0.82976418375770544</v>
      </c>
      <c r="M124" s="9">
        <f t="shared" si="6"/>
        <v>-20.629637951876592</v>
      </c>
    </row>
    <row r="125" spans="2:13" hidden="1" x14ac:dyDescent="0.25">
      <c r="B125" s="108"/>
      <c r="C125" s="110"/>
      <c r="D125" s="2">
        <v>30</v>
      </c>
      <c r="E125" s="4"/>
      <c r="F125" s="9">
        <f>(F111-$F$62)*G$10*60</f>
        <v>3.7479585003441902</v>
      </c>
      <c r="G125" s="9">
        <f t="shared" si="6"/>
        <v>4.9503095426083794</v>
      </c>
      <c r="H125" s="9">
        <f t="shared" si="6"/>
        <v>5.8722123055925728</v>
      </c>
      <c r="I125" s="9">
        <f t="shared" si="6"/>
        <v>7.7642163398651434</v>
      </c>
      <c r="J125" s="9">
        <f t="shared" si="6"/>
        <v>9.7684564822102811</v>
      </c>
      <c r="K125" s="9">
        <f t="shared" si="6"/>
        <v>10.278032344710846</v>
      </c>
      <c r="L125" s="9">
        <f t="shared" si="6"/>
        <v>4.0915934012297086</v>
      </c>
      <c r="M125" s="9">
        <f t="shared" si="6"/>
        <v>-16.435857529412594</v>
      </c>
    </row>
    <row r="126" spans="2:13" hidden="1" x14ac:dyDescent="0.25">
      <c r="B126" s="108"/>
      <c r="C126" s="110"/>
      <c r="D126" s="2">
        <v>40</v>
      </c>
      <c r="E126" s="4"/>
      <c r="F126" s="9">
        <f t="shared" si="6"/>
        <v>4.0715526687441894</v>
      </c>
      <c r="G126" s="9">
        <f t="shared" si="6"/>
        <v>5.3925549060883808</v>
      </c>
      <c r="H126" s="9">
        <f t="shared" si="6"/>
        <v>6.3899629750325708</v>
      </c>
      <c r="I126" s="9">
        <f t="shared" si="6"/>
        <v>8.5084829271851419</v>
      </c>
      <c r="J126" s="9">
        <f t="shared" si="6"/>
        <v>10.868676654770283</v>
      </c>
      <c r="K126" s="9">
        <f t="shared" si="6"/>
        <v>12.219597355110855</v>
      </c>
      <c r="L126" s="9">
        <f t="shared" si="6"/>
        <v>6.4991340141256959</v>
      </c>
      <c r="M126" s="9">
        <f t="shared" si="6"/>
        <v>-13.329353512772595</v>
      </c>
    </row>
    <row r="127" spans="2:13" ht="15.75" hidden="1" thickBot="1" x14ac:dyDescent="0.3">
      <c r="B127" s="109"/>
      <c r="C127" s="111"/>
      <c r="D127" s="7">
        <v>50</v>
      </c>
      <c r="E127" s="5"/>
      <c r="F127" s="9">
        <f t="shared" si="6"/>
        <v>4.33582123960419</v>
      </c>
      <c r="G127" s="9">
        <f t="shared" si="6"/>
        <v>5.7592949636083803</v>
      </c>
      <c r="H127" s="9">
        <f t="shared" si="6"/>
        <v>6.84299481079257</v>
      </c>
      <c r="I127" s="9">
        <f t="shared" si="6"/>
        <v>9.155671263985143</v>
      </c>
      <c r="J127" s="9">
        <f t="shared" si="6"/>
        <v>11.71002149261029</v>
      </c>
      <c r="K127" s="9">
        <f t="shared" si="6"/>
        <v>13.578692862390854</v>
      </c>
      <c r="L127" s="9">
        <f t="shared" si="6"/>
        <v>8.5183616249417078</v>
      </c>
      <c r="M127" s="9">
        <f t="shared" si="6"/>
        <v>-10.999475500292586</v>
      </c>
    </row>
  </sheetData>
  <sheetProtection algorithmName="SHA-512" hashValue="Kq/dx2fwqT3QzCNVFCIffKNWafmNSMdbQm7akDi8jHkZC1bCllETDJ5T/cGMmAVAskE1CqkThPuoNehzoBtxdQ==" saltValue="+AJRoKAqeP5AgY+yji0mfg==" spinCount="100000" sheet="1" objects="1" scenarios="1"/>
  <mergeCells count="21">
    <mergeCell ref="F4:K4"/>
    <mergeCell ref="F5:K5"/>
    <mergeCell ref="G7:Q7"/>
    <mergeCell ref="C9:Q9"/>
    <mergeCell ref="B10:B23"/>
    <mergeCell ref="C10:E10"/>
    <mergeCell ref="B122:B127"/>
    <mergeCell ref="C122:C127"/>
    <mergeCell ref="F26:F27"/>
    <mergeCell ref="S26:S27"/>
    <mergeCell ref="H81:J82"/>
    <mergeCell ref="K95:N95"/>
    <mergeCell ref="F100:L100"/>
    <mergeCell ref="L62:Q74"/>
    <mergeCell ref="B75:Q75"/>
    <mergeCell ref="F106:M106"/>
    <mergeCell ref="B108:B113"/>
    <mergeCell ref="C108:C113"/>
    <mergeCell ref="B115:B120"/>
    <mergeCell ref="C115:C120"/>
    <mergeCell ref="I50:K54"/>
  </mergeCells>
  <conditionalFormatting sqref="F115:M120">
    <cfRule type="cellIs" dxfId="21" priority="11" operator="equal">
      <formula>MAX($F$115:$M$120)</formula>
    </cfRule>
  </conditionalFormatting>
  <conditionalFormatting sqref="F122:M127">
    <cfRule type="cellIs" dxfId="20" priority="10" operator="equal">
      <formula>MAX($F$115:$M$120)</formula>
    </cfRule>
  </conditionalFormatting>
  <conditionalFormatting sqref="F58">
    <cfRule type="expression" dxfId="19" priority="7">
      <formula>$F$59="not ok"</formula>
    </cfRule>
  </conditionalFormatting>
  <conditionalFormatting sqref="F61">
    <cfRule type="expression" dxfId="18" priority="8">
      <formula>$F$63="not ok"</formula>
    </cfRule>
  </conditionalFormatting>
  <conditionalFormatting sqref="F59">
    <cfRule type="cellIs" dxfId="17" priority="5" operator="equal">
      <formula>"not ok"</formula>
    </cfRule>
  </conditionalFormatting>
  <conditionalFormatting sqref="F63">
    <cfRule type="cellIs" dxfId="16" priority="4" operator="equal">
      <formula>"not ok"</formula>
    </cfRule>
  </conditionalFormatting>
  <conditionalFormatting sqref="F68">
    <cfRule type="expression" dxfId="15" priority="9">
      <formula>$F$73="not ok"</formula>
    </cfRule>
  </conditionalFormatting>
  <conditionalFormatting sqref="F73">
    <cfRule type="cellIs" dxfId="14" priority="6" operator="equal">
      <formula>"not ok"</formula>
    </cfRule>
  </conditionalFormatting>
  <conditionalFormatting sqref="F67:F68">
    <cfRule type="expression" dxfId="13" priority="3">
      <formula>$F$73="not ok"</formula>
    </cfRule>
  </conditionalFormatting>
  <conditionalFormatting sqref="F74">
    <cfRule type="cellIs" dxfId="12" priority="2" operator="equal">
      <formula>"not ok"</formula>
    </cfRule>
  </conditionalFormatting>
  <conditionalFormatting sqref="F72">
    <cfRule type="cellIs" dxfId="11" priority="1" operator="equal">
      <formula>"not ok"</formula>
    </cfRule>
  </conditionalFormatting>
  <dataValidations xWindow="1011" yWindow="702" count="5">
    <dataValidation allowBlank="1" showInputMessage="1" showErrorMessage="1" promptTitle="Dia check" prompt="This will depend on the availibility of smaller diameter pipe. But cannot be higher than suggested size on the right cell." sqref="F61" xr:uid="{3FA4CB5B-5CE2-489B-84C7-B1B41090DC43}"/>
    <dataValidation allowBlank="1" showInputMessage="1" showErrorMessage="1" promptTitle="Height Check" prompt="This height must not be heigher than tank height (row56). More height will need smaller orifice (row60). Adujst this height in combination with orifice diameter (row60) to get orifice flow (row61) less than or equal to green field flow (row51)." sqref="F58" xr:uid="{1CE12AED-89E5-49C2-9429-19C3613379A0}"/>
    <dataValidation allowBlank="1" showInputMessage="1" showErrorMessage="1" promptTitle="Note" prompt="In case of more than one tank, all the primary outlet needs to be routed to one outlet that will have orifice installed in it." sqref="F68" xr:uid="{9C35B868-51B1-4365-B7D4-35F945D21282}"/>
    <dataValidation allowBlank="1" showInputMessage="1" showErrorMessage="1" promptTitle="Design Check" prompt="Adjust tank capacity (row65) &amp; number (row66) so that its storage is higher or equal to the required storage (row67) " sqref="F69" xr:uid="{F0E03EB2-AE1F-4B3D-BFA4-2105B75F2060}"/>
    <dataValidation allowBlank="1" showInputMessage="1" showErrorMessage="1" promptTitle="Input" prompt="Only input areas that are going to be developed/modified" sqref="F30 F28" xr:uid="{179351EA-B7E0-44E5-9D75-739C358F26C7}"/>
  </dataValidations>
  <hyperlinks>
    <hyperlink ref="C7" r:id="rId1" xr:uid="{379687B8-D399-42B0-9289-037C3ED6544A}"/>
  </hyperlinks>
  <pageMargins left="0.7" right="0.7" top="0.75" bottom="0.75" header="0.3" footer="0.3"/>
  <pageSetup paperSize="9" scale="47" orientation="landscape" r:id="rId2"/>
  <drawing r:id="rId3"/>
  <legacyDrawing r:id="rId4"/>
  <tableParts count="1">
    <tablePart r:id="rId5"/>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6F8D02-A694-41CA-A914-145457606689}">
  <sheetPr>
    <pageSetUpPr fitToPage="1"/>
  </sheetPr>
  <dimension ref="A4:T127"/>
  <sheetViews>
    <sheetView zoomScale="55" zoomScaleNormal="55" zoomScaleSheetLayoutView="70" zoomScalePageLayoutView="70" workbookViewId="0">
      <selection activeCell="F67" sqref="F67"/>
    </sheetView>
  </sheetViews>
  <sheetFormatPr defaultRowHeight="15" x14ac:dyDescent="0.25"/>
  <cols>
    <col min="1" max="1" width="9.140625" style="2"/>
    <col min="2" max="2" width="50.85546875" customWidth="1"/>
    <col min="3" max="3" width="13.42578125" customWidth="1"/>
    <col min="4" max="4" width="31.42578125" hidden="1" customWidth="1"/>
    <col min="5" max="5" width="12.7109375" customWidth="1"/>
    <col min="6" max="6" width="19.140625" style="1" customWidth="1"/>
    <col min="7" max="7" width="16" style="1" bestFit="1" customWidth="1"/>
    <col min="8" max="8" width="12.7109375" style="1" customWidth="1"/>
    <col min="9" max="16" width="12.7109375" customWidth="1"/>
    <col min="17" max="17" width="14.28515625" customWidth="1"/>
    <col min="18" max="18" width="10.7109375" customWidth="1"/>
    <col min="19" max="19" width="34.42578125" hidden="1" customWidth="1"/>
    <col min="20" max="20" width="9.140625" hidden="1" customWidth="1"/>
    <col min="21" max="21" width="12.5703125" bestFit="1" customWidth="1"/>
  </cols>
  <sheetData>
    <row r="4" spans="2:18" ht="15.75" x14ac:dyDescent="0.25">
      <c r="B4" s="64"/>
      <c r="C4" s="65" t="s">
        <v>112</v>
      </c>
      <c r="E4" t="s">
        <v>113</v>
      </c>
      <c r="F4" s="121"/>
      <c r="G4" s="122"/>
      <c r="H4" s="122"/>
      <c r="I4" s="122"/>
      <c r="J4" s="122"/>
      <c r="K4" s="123"/>
    </row>
    <row r="5" spans="2:18" ht="15.75" x14ac:dyDescent="0.25">
      <c r="B5" s="68"/>
      <c r="C5" s="65" t="s">
        <v>114</v>
      </c>
      <c r="E5" t="s">
        <v>115</v>
      </c>
      <c r="F5" s="121"/>
      <c r="G5" s="122"/>
      <c r="H5" s="122"/>
      <c r="I5" s="122"/>
      <c r="J5" s="122"/>
      <c r="K5" s="123"/>
    </row>
    <row r="7" spans="2:18" x14ac:dyDescent="0.25">
      <c r="B7" s="74" t="s">
        <v>117</v>
      </c>
      <c r="C7" s="73" t="s">
        <v>118</v>
      </c>
      <c r="D7" s="72"/>
      <c r="E7" s="72"/>
      <c r="G7" s="124"/>
      <c r="H7" s="124"/>
      <c r="I7" s="124"/>
      <c r="J7" s="124"/>
      <c r="K7" s="124"/>
      <c r="L7" s="124"/>
      <c r="M7" s="124"/>
      <c r="N7" s="124"/>
      <c r="O7" s="124"/>
      <c r="P7" s="124"/>
      <c r="Q7" s="124"/>
    </row>
    <row r="8" spans="2:18" x14ac:dyDescent="0.25">
      <c r="C8" s="71"/>
    </row>
    <row r="9" spans="2:18" x14ac:dyDescent="0.25">
      <c r="B9" s="1"/>
      <c r="C9" s="125" t="s">
        <v>116</v>
      </c>
      <c r="D9" s="126"/>
      <c r="E9" s="126"/>
      <c r="F9" s="127"/>
      <c r="G9" s="127"/>
      <c r="H9" s="127"/>
      <c r="I9" s="127"/>
      <c r="J9" s="127"/>
      <c r="K9" s="127"/>
      <c r="L9" s="127"/>
      <c r="M9" s="127"/>
      <c r="N9" s="127"/>
      <c r="O9" s="127"/>
      <c r="P9" s="127"/>
      <c r="Q9" s="127"/>
    </row>
    <row r="10" spans="2:18" ht="15" customHeight="1" x14ac:dyDescent="0.25">
      <c r="B10" s="128" t="s">
        <v>44</v>
      </c>
      <c r="C10" s="128"/>
      <c r="D10" s="128"/>
      <c r="E10" s="128"/>
      <c r="F10" s="78" t="s">
        <v>40</v>
      </c>
      <c r="G10" s="76">
        <v>10</v>
      </c>
      <c r="H10" s="76">
        <v>20</v>
      </c>
      <c r="I10" s="76">
        <v>30</v>
      </c>
      <c r="J10" s="76">
        <v>60</v>
      </c>
      <c r="K10" s="76">
        <v>120</v>
      </c>
      <c r="L10" s="76">
        <f>6*60</f>
        <v>360</v>
      </c>
      <c r="M10" s="76">
        <f>12*60</f>
        <v>720</v>
      </c>
      <c r="N10" s="77">
        <f>24*60</f>
        <v>1440</v>
      </c>
      <c r="O10" s="76">
        <f>48*60</f>
        <v>2880</v>
      </c>
      <c r="P10" s="76">
        <f>72*60</f>
        <v>4320</v>
      </c>
      <c r="Q10" s="76">
        <f>96*60</f>
        <v>5760</v>
      </c>
      <c r="R10" s="76">
        <f>120*60</f>
        <v>7200</v>
      </c>
    </row>
    <row r="11" spans="2:18" ht="15" customHeight="1" x14ac:dyDescent="0.25">
      <c r="B11" s="128"/>
      <c r="C11" s="66" t="s">
        <v>119</v>
      </c>
      <c r="D11" s="67"/>
      <c r="E11" s="81"/>
      <c r="F11" s="81"/>
      <c r="G11" s="81"/>
      <c r="H11" s="81"/>
      <c r="I11" s="81"/>
      <c r="J11" s="81"/>
      <c r="K11" s="81"/>
      <c r="L11" s="81"/>
      <c r="M11" s="81"/>
      <c r="N11" s="81"/>
      <c r="O11" s="81"/>
      <c r="P11" s="81"/>
      <c r="Q11" s="81"/>
      <c r="R11" s="81"/>
    </row>
    <row r="12" spans="2:18" ht="15.75" x14ac:dyDescent="0.25">
      <c r="B12" s="128"/>
      <c r="C12" s="79">
        <v>1.58</v>
      </c>
      <c r="D12" s="67"/>
      <c r="E12" s="81"/>
      <c r="F12" s="81"/>
      <c r="G12" s="81"/>
      <c r="H12" s="81"/>
      <c r="I12" s="81"/>
      <c r="J12" s="81"/>
      <c r="K12" s="81"/>
      <c r="L12" s="81"/>
      <c r="M12" s="81"/>
      <c r="N12" s="81"/>
      <c r="O12" s="81"/>
      <c r="P12" s="81"/>
      <c r="Q12" s="81"/>
      <c r="R12" s="81"/>
    </row>
    <row r="13" spans="2:18" ht="15.75" x14ac:dyDescent="0.25">
      <c r="B13" s="128"/>
      <c r="C13" s="79">
        <v>2</v>
      </c>
      <c r="D13" s="67"/>
      <c r="E13" s="81"/>
      <c r="F13" s="81"/>
      <c r="G13" s="81"/>
      <c r="H13" s="81"/>
      <c r="I13" s="81"/>
      <c r="J13" s="81"/>
      <c r="K13" s="81"/>
      <c r="L13" s="81"/>
      <c r="M13" s="81"/>
      <c r="N13" s="81"/>
      <c r="O13" s="81"/>
      <c r="P13" s="81"/>
      <c r="Q13" s="81"/>
      <c r="R13" s="81"/>
    </row>
    <row r="14" spans="2:18" ht="15.75" x14ac:dyDescent="0.25">
      <c r="B14" s="128"/>
      <c r="C14" s="79">
        <v>5</v>
      </c>
      <c r="D14" s="67"/>
      <c r="E14" s="81"/>
      <c r="F14" s="81"/>
      <c r="G14" s="81"/>
      <c r="H14" s="81"/>
      <c r="I14" s="81"/>
      <c r="J14" s="81"/>
      <c r="K14" s="81"/>
      <c r="L14" s="81"/>
      <c r="M14" s="81"/>
      <c r="N14" s="81"/>
      <c r="O14" s="81"/>
      <c r="P14" s="81"/>
      <c r="Q14" s="81"/>
      <c r="R14" s="81"/>
    </row>
    <row r="15" spans="2:18" ht="15.75" x14ac:dyDescent="0.25">
      <c r="B15" s="128"/>
      <c r="C15" s="79">
        <v>10</v>
      </c>
      <c r="D15" s="67"/>
      <c r="E15" s="81"/>
      <c r="F15" s="81"/>
      <c r="G15" s="81"/>
      <c r="H15" s="81"/>
      <c r="I15" s="81"/>
      <c r="J15" s="81"/>
      <c r="K15" s="81"/>
      <c r="L15" s="81"/>
      <c r="M15" s="81"/>
      <c r="N15" s="81"/>
      <c r="O15" s="81"/>
      <c r="P15" s="81"/>
      <c r="Q15" s="81"/>
      <c r="R15" s="81"/>
    </row>
    <row r="16" spans="2:18" ht="15.75" x14ac:dyDescent="0.25">
      <c r="B16" s="128"/>
      <c r="C16" s="79">
        <v>20</v>
      </c>
      <c r="D16" s="67"/>
      <c r="E16" s="81"/>
      <c r="F16" s="81"/>
      <c r="G16" s="81"/>
      <c r="H16" s="81"/>
      <c r="I16" s="81"/>
      <c r="J16" s="81"/>
      <c r="K16" s="81"/>
      <c r="L16" s="81"/>
      <c r="M16" s="81"/>
      <c r="N16" s="81"/>
      <c r="O16" s="81"/>
      <c r="P16" s="81"/>
      <c r="Q16" s="81"/>
      <c r="R16" s="81"/>
    </row>
    <row r="17" spans="2:20" ht="15.75" x14ac:dyDescent="0.25">
      <c r="B17" s="128"/>
      <c r="C17" s="79">
        <v>30</v>
      </c>
      <c r="D17" s="67"/>
      <c r="E17" s="81"/>
      <c r="F17" s="81"/>
      <c r="G17" s="81"/>
      <c r="H17" s="81"/>
      <c r="I17" s="81"/>
      <c r="J17" s="81"/>
      <c r="K17" s="81"/>
      <c r="L17" s="81"/>
      <c r="M17" s="81"/>
      <c r="N17" s="81"/>
      <c r="O17" s="81"/>
      <c r="P17" s="81"/>
      <c r="Q17" s="81"/>
      <c r="R17" s="81"/>
    </row>
    <row r="18" spans="2:20" ht="15.75" x14ac:dyDescent="0.25">
      <c r="B18" s="128"/>
      <c r="C18" s="79">
        <v>40</v>
      </c>
      <c r="D18" s="67"/>
      <c r="E18" s="81"/>
      <c r="F18" s="81"/>
      <c r="G18" s="81"/>
      <c r="H18" s="81"/>
      <c r="I18" s="81"/>
      <c r="J18" s="81"/>
      <c r="K18" s="81"/>
      <c r="L18" s="81"/>
      <c r="M18" s="81"/>
      <c r="N18" s="81"/>
      <c r="O18" s="81"/>
      <c r="P18" s="81"/>
      <c r="Q18" s="81"/>
      <c r="R18" s="81"/>
    </row>
    <row r="19" spans="2:20" ht="15.75" x14ac:dyDescent="0.25">
      <c r="B19" s="128"/>
      <c r="C19" s="82">
        <v>50</v>
      </c>
      <c r="D19" s="67"/>
      <c r="E19" s="81"/>
      <c r="F19" s="81"/>
      <c r="G19" s="81"/>
      <c r="H19" s="81"/>
      <c r="I19" s="81"/>
      <c r="J19" s="81"/>
      <c r="K19" s="81"/>
      <c r="L19" s="81"/>
      <c r="M19" s="81"/>
      <c r="N19" s="81"/>
      <c r="O19" s="81"/>
      <c r="P19" s="81"/>
      <c r="Q19" s="81"/>
      <c r="R19" s="81"/>
    </row>
    <row r="20" spans="2:20" ht="15.75" x14ac:dyDescent="0.25">
      <c r="B20" s="128"/>
      <c r="C20" s="79">
        <v>60</v>
      </c>
      <c r="D20" s="80"/>
      <c r="E20" s="81"/>
      <c r="F20" s="81"/>
      <c r="G20" s="81"/>
      <c r="H20" s="81"/>
      <c r="I20" s="81"/>
      <c r="J20" s="81"/>
      <c r="K20" s="81"/>
      <c r="L20" s="81"/>
      <c r="M20" s="81"/>
      <c r="N20" s="81"/>
      <c r="O20" s="81"/>
      <c r="P20" s="81"/>
      <c r="Q20" s="81"/>
      <c r="R20" s="81"/>
    </row>
    <row r="21" spans="2:20" ht="15.75" x14ac:dyDescent="0.25">
      <c r="B21" s="128"/>
      <c r="C21" s="79">
        <v>80</v>
      </c>
      <c r="D21" s="80"/>
      <c r="E21" s="81"/>
      <c r="F21" s="81"/>
      <c r="G21" s="81"/>
      <c r="H21" s="81"/>
      <c r="I21" s="81"/>
      <c r="J21" s="81"/>
      <c r="K21" s="81"/>
      <c r="L21" s="81"/>
      <c r="M21" s="81"/>
      <c r="N21" s="81"/>
      <c r="O21" s="81"/>
      <c r="P21" s="81"/>
      <c r="Q21" s="81"/>
      <c r="R21" s="81"/>
    </row>
    <row r="22" spans="2:20" ht="15.75" x14ac:dyDescent="0.25">
      <c r="B22" s="128"/>
      <c r="C22" s="79">
        <v>100</v>
      </c>
      <c r="D22" s="80"/>
      <c r="E22" s="81"/>
      <c r="F22" s="81"/>
      <c r="G22" s="81"/>
      <c r="H22" s="81"/>
      <c r="I22" s="81"/>
      <c r="J22" s="81"/>
      <c r="K22" s="81"/>
      <c r="L22" s="81"/>
      <c r="M22" s="81"/>
      <c r="N22" s="81"/>
      <c r="O22" s="81"/>
      <c r="P22" s="81"/>
      <c r="Q22" s="81"/>
      <c r="R22" s="81"/>
    </row>
    <row r="23" spans="2:20" ht="15.75" x14ac:dyDescent="0.25">
      <c r="B23" s="128"/>
      <c r="C23" s="79">
        <v>250</v>
      </c>
      <c r="D23" s="80"/>
      <c r="E23" s="81"/>
      <c r="F23" s="81"/>
      <c r="G23" s="81"/>
      <c r="H23" s="81"/>
      <c r="I23" s="81"/>
      <c r="J23" s="81"/>
      <c r="K23" s="81"/>
      <c r="L23" s="81"/>
      <c r="M23" s="81"/>
      <c r="N23" s="81"/>
      <c r="O23" s="81"/>
      <c r="P23" s="81"/>
      <c r="Q23" s="81"/>
      <c r="R23" s="81"/>
    </row>
    <row r="24" spans="2:20" x14ac:dyDescent="0.25">
      <c r="J24" s="22"/>
    </row>
    <row r="25" spans="2:20" ht="16.5" thickBot="1" x14ac:dyDescent="0.3">
      <c r="B25" t="s">
        <v>10</v>
      </c>
      <c r="C25" t="s">
        <v>11</v>
      </c>
      <c r="D25" t="s">
        <v>12</v>
      </c>
      <c r="E25" t="s">
        <v>20</v>
      </c>
      <c r="F25" s="28"/>
      <c r="G25" s="28"/>
      <c r="H25" s="26"/>
      <c r="I25" s="26"/>
      <c r="J25" s="26"/>
      <c r="K25" s="26"/>
      <c r="L25" s="26"/>
      <c r="M25" s="26"/>
      <c r="N25" s="27"/>
      <c r="O25" s="27"/>
      <c r="P25" s="19"/>
      <c r="Q25" s="19"/>
      <c r="R25" s="13"/>
      <c r="S25" s="13"/>
      <c r="T25" s="13"/>
    </row>
    <row r="26" spans="2:20" s="2" customFormat="1" ht="18" customHeight="1" x14ac:dyDescent="0.25">
      <c r="B26" s="3" t="s">
        <v>45</v>
      </c>
      <c r="C26" s="3" t="s">
        <v>1</v>
      </c>
      <c r="D26" s="3" t="s">
        <v>0</v>
      </c>
      <c r="E26" s="3"/>
      <c r="F26" s="112" t="s">
        <v>79</v>
      </c>
      <c r="H26" s="43"/>
      <c r="I26" s="43"/>
      <c r="J26" s="43"/>
      <c r="K26" s="43"/>
      <c r="L26" s="43"/>
      <c r="M26" s="43"/>
      <c r="N26" s="20"/>
      <c r="O26" s="20"/>
      <c r="P26" s="20"/>
      <c r="Q26" s="20"/>
      <c r="S26" s="112" t="s">
        <v>78</v>
      </c>
    </row>
    <row r="27" spans="2:20" ht="25.5" customHeight="1" x14ac:dyDescent="0.25">
      <c r="B27" s="24" t="s">
        <v>84</v>
      </c>
      <c r="F27" s="113"/>
      <c r="H27" s="45"/>
      <c r="I27" s="23"/>
      <c r="J27" s="23"/>
      <c r="K27" s="23"/>
      <c r="L27" s="23"/>
      <c r="M27" s="23"/>
      <c r="N27" s="2"/>
      <c r="O27" s="2"/>
      <c r="S27" s="113"/>
    </row>
    <row r="28" spans="2:20" s="2" customFormat="1" ht="17.25" x14ac:dyDescent="0.25">
      <c r="B28" s="2" t="s">
        <v>22</v>
      </c>
      <c r="C28" s="2" t="s">
        <v>27</v>
      </c>
      <c r="D28" s="2" t="s">
        <v>4</v>
      </c>
      <c r="E28" s="2" t="s">
        <v>86</v>
      </c>
      <c r="F28" s="70"/>
      <c r="H28" s="46"/>
      <c r="I28" s="46"/>
      <c r="J28" s="46"/>
      <c r="K28" s="46"/>
      <c r="L28" s="46"/>
      <c r="M28" s="46"/>
      <c r="N28" s="11"/>
      <c r="O28" s="12"/>
      <c r="P28" s="14"/>
      <c r="Q28" s="14"/>
      <c r="S28" s="69">
        <f>F28</f>
        <v>0</v>
      </c>
    </row>
    <row r="29" spans="2:20" s="2" customFormat="1" x14ac:dyDescent="0.25">
      <c r="B29" s="2" t="s">
        <v>24</v>
      </c>
      <c r="C29" s="2" t="s">
        <v>29</v>
      </c>
      <c r="D29" s="2" t="s">
        <v>9</v>
      </c>
      <c r="F29" s="70">
        <v>0.9</v>
      </c>
      <c r="H29" s="46"/>
      <c r="I29" s="46"/>
      <c r="J29" s="46"/>
      <c r="K29" s="46"/>
      <c r="L29" s="46"/>
      <c r="M29" s="46"/>
      <c r="N29" s="11"/>
      <c r="O29" s="12"/>
      <c r="P29" s="14"/>
      <c r="Q29" s="14"/>
      <c r="S29" s="69">
        <v>0.25</v>
      </c>
    </row>
    <row r="30" spans="2:20" s="2" customFormat="1" ht="15" customHeight="1" x14ac:dyDescent="0.25">
      <c r="B30" s="2" t="s">
        <v>21</v>
      </c>
      <c r="C30" s="2" t="s">
        <v>28</v>
      </c>
      <c r="D30" s="2" t="s">
        <v>4</v>
      </c>
      <c r="E30" s="2" t="s">
        <v>86</v>
      </c>
      <c r="F30" s="70"/>
      <c r="H30" s="46"/>
      <c r="I30" s="46"/>
      <c r="J30" s="46"/>
      <c r="K30" s="46"/>
      <c r="L30" s="46"/>
      <c r="M30" s="46"/>
      <c r="N30" s="11"/>
      <c r="O30" s="12"/>
      <c r="P30" s="14"/>
      <c r="Q30" s="14"/>
      <c r="S30" s="69">
        <f>F30</f>
        <v>0</v>
      </c>
    </row>
    <row r="31" spans="2:20" s="2" customFormat="1" ht="15" customHeight="1" x14ac:dyDescent="0.25">
      <c r="B31" s="2" t="s">
        <v>25</v>
      </c>
      <c r="C31" s="2" t="s">
        <v>30</v>
      </c>
      <c r="D31" s="2" t="s">
        <v>9</v>
      </c>
      <c r="F31" s="70">
        <v>0.85</v>
      </c>
      <c r="H31" s="47"/>
      <c r="I31" s="47"/>
      <c r="J31" s="47"/>
      <c r="K31" s="47"/>
      <c r="L31" s="47"/>
      <c r="M31" s="47"/>
      <c r="N31" s="11"/>
      <c r="O31" s="12"/>
      <c r="P31" s="15"/>
      <c r="Q31" s="15"/>
      <c r="S31" s="70">
        <v>0.25</v>
      </c>
    </row>
    <row r="32" spans="2:20" s="2" customFormat="1" ht="15" hidden="1" customHeight="1" x14ac:dyDescent="0.25">
      <c r="B32" s="2" t="s">
        <v>75</v>
      </c>
      <c r="C32" s="2" t="s">
        <v>26</v>
      </c>
      <c r="D32" s="2" t="s">
        <v>34</v>
      </c>
      <c r="E32" s="2" t="s">
        <v>86</v>
      </c>
      <c r="F32" s="70"/>
      <c r="H32" s="46"/>
      <c r="I32" s="46"/>
      <c r="J32" s="46"/>
      <c r="K32" s="46"/>
      <c r="L32" s="46"/>
      <c r="M32" s="46"/>
      <c r="N32" s="11"/>
      <c r="O32" s="12"/>
      <c r="P32" s="14"/>
      <c r="Q32" s="14"/>
      <c r="S32" s="69">
        <f>F32</f>
        <v>0</v>
      </c>
    </row>
    <row r="33" spans="2:20" s="2" customFormat="1" ht="15" hidden="1" customHeight="1" x14ac:dyDescent="0.25">
      <c r="B33" s="2" t="s">
        <v>18</v>
      </c>
      <c r="C33" s="2" t="s">
        <v>31</v>
      </c>
      <c r="D33" s="2" t="s">
        <v>9</v>
      </c>
      <c r="F33" s="70"/>
      <c r="H33" s="47"/>
      <c r="I33" s="47"/>
      <c r="J33" s="47"/>
      <c r="K33" s="47"/>
      <c r="L33" s="47"/>
      <c r="M33" s="47"/>
      <c r="N33" s="11"/>
      <c r="O33" s="12"/>
      <c r="P33" s="15"/>
      <c r="Q33" s="15"/>
      <c r="S33" s="70">
        <v>0.25</v>
      </c>
    </row>
    <row r="34" spans="2:20" s="4" customFormat="1" ht="15" customHeight="1" x14ac:dyDescent="0.25">
      <c r="B34" s="23" t="s">
        <v>73</v>
      </c>
      <c r="C34" s="23" t="s">
        <v>77</v>
      </c>
      <c r="D34" s="2" t="s">
        <v>4</v>
      </c>
      <c r="E34" s="2" t="s">
        <v>86</v>
      </c>
      <c r="F34" s="75"/>
      <c r="H34" s="46"/>
      <c r="I34" s="46"/>
      <c r="J34" s="46"/>
      <c r="K34" s="46"/>
      <c r="L34" s="46"/>
      <c r="M34" s="46"/>
      <c r="N34" s="14"/>
      <c r="O34" s="17"/>
      <c r="P34" s="17"/>
      <c r="Q34" s="17"/>
      <c r="S34" s="75">
        <f>F34</f>
        <v>0</v>
      </c>
    </row>
    <row r="35" spans="2:20" s="4" customFormat="1" ht="15" customHeight="1" x14ac:dyDescent="0.25">
      <c r="B35" s="23" t="s">
        <v>74</v>
      </c>
      <c r="C35" s="23" t="s">
        <v>61</v>
      </c>
      <c r="D35" s="2" t="s">
        <v>9</v>
      </c>
      <c r="E35" s="2"/>
      <c r="F35" s="75">
        <v>0.6</v>
      </c>
      <c r="H35" s="46"/>
      <c r="I35" s="46"/>
      <c r="J35" s="46"/>
      <c r="K35" s="46"/>
      <c r="L35" s="46"/>
      <c r="M35" s="46"/>
      <c r="N35" s="14"/>
      <c r="O35" s="17"/>
      <c r="P35" s="17"/>
      <c r="Q35" s="17"/>
      <c r="R35" s="17"/>
      <c r="S35" s="75">
        <v>0.25</v>
      </c>
    </row>
    <row r="36" spans="2:20" s="2" customFormat="1" ht="15" hidden="1" customHeight="1" x14ac:dyDescent="0.25">
      <c r="B36" s="2" t="s">
        <v>23</v>
      </c>
      <c r="C36" s="23" t="s">
        <v>17</v>
      </c>
      <c r="D36" s="2" t="s">
        <v>35</v>
      </c>
      <c r="F36" s="52" t="e">
        <f>100*(F30+F28)/F37</f>
        <v>#DIV/0!</v>
      </c>
      <c r="H36" s="46"/>
      <c r="I36" s="46"/>
      <c r="J36" s="46"/>
      <c r="K36" s="46"/>
      <c r="L36" s="46"/>
      <c r="M36" s="46"/>
      <c r="N36" s="11"/>
      <c r="O36" s="12"/>
      <c r="P36" s="14"/>
      <c r="Q36" s="14"/>
      <c r="R36" s="14"/>
      <c r="S36" s="52" t="e">
        <f>100*(S30+S28)/S37</f>
        <v>#DIV/0!</v>
      </c>
    </row>
    <row r="37" spans="2:20" s="4" customFormat="1" ht="15" customHeight="1" x14ac:dyDescent="0.25">
      <c r="B37" s="4" t="s">
        <v>76</v>
      </c>
      <c r="C37" s="23" t="s">
        <v>15</v>
      </c>
      <c r="D37" s="2" t="s">
        <v>4</v>
      </c>
      <c r="E37" s="2" t="s">
        <v>86</v>
      </c>
      <c r="F37" s="54">
        <f>F28+F30+F32+F34</f>
        <v>0</v>
      </c>
      <c r="H37" s="10"/>
      <c r="I37" s="10"/>
      <c r="J37" s="10"/>
      <c r="K37" s="10"/>
      <c r="L37" s="10"/>
      <c r="M37" s="10"/>
      <c r="N37" s="11"/>
      <c r="O37" s="12"/>
      <c r="P37" s="10"/>
      <c r="Q37" s="10"/>
      <c r="R37" s="10"/>
      <c r="S37" s="53">
        <f>S28+S30+S32+S34</f>
        <v>0</v>
      </c>
    </row>
    <row r="38" spans="2:20" s="4" customFormat="1" ht="15" customHeight="1" x14ac:dyDescent="0.25">
      <c r="B38" s="4" t="s">
        <v>19</v>
      </c>
      <c r="C38" s="23" t="s">
        <v>3</v>
      </c>
      <c r="D38" s="2" t="s">
        <v>32</v>
      </c>
      <c r="E38" s="2"/>
      <c r="F38" s="55" t="e">
        <f>(F31*F30+F33*F32+F28*F29+F34*F35)/F37</f>
        <v>#DIV/0!</v>
      </c>
      <c r="H38" s="49"/>
      <c r="I38" s="49"/>
      <c r="J38" s="49"/>
      <c r="K38" s="49"/>
      <c r="L38" s="49"/>
      <c r="M38" s="49"/>
      <c r="N38" s="11"/>
      <c r="O38" s="12"/>
      <c r="P38" s="16"/>
      <c r="Q38" s="16"/>
      <c r="R38" s="16"/>
      <c r="S38" s="55" t="e">
        <f>(S31*S30+S33*S32+S28*S29+S34*S35)/S37</f>
        <v>#DIV/0!</v>
      </c>
    </row>
    <row r="39" spans="2:20" s="4" customFormat="1" ht="15" customHeight="1" x14ac:dyDescent="0.25">
      <c r="C39" s="23"/>
      <c r="D39" s="2"/>
      <c r="E39" s="2"/>
      <c r="F39" s="49"/>
      <c r="G39" s="49"/>
      <c r="H39" s="49"/>
      <c r="I39" s="49"/>
      <c r="J39" s="49"/>
      <c r="K39" s="49"/>
      <c r="L39" s="49"/>
      <c r="M39" s="49"/>
      <c r="N39" s="11"/>
      <c r="O39" s="12"/>
      <c r="P39" s="16"/>
      <c r="Q39" s="16"/>
      <c r="R39" s="16"/>
      <c r="S39" s="16"/>
      <c r="T39" s="16"/>
    </row>
    <row r="40" spans="2:20" s="4" customFormat="1" ht="15" customHeight="1" x14ac:dyDescent="0.25">
      <c r="B40" s="25" t="s">
        <v>80</v>
      </c>
      <c r="C40" s="23"/>
      <c r="D40" s="2"/>
      <c r="E40" s="2"/>
      <c r="F40" s="49"/>
      <c r="G40" s="49"/>
      <c r="H40" s="49"/>
      <c r="I40" s="49"/>
      <c r="J40" s="49"/>
      <c r="K40" s="49"/>
      <c r="L40" s="49"/>
      <c r="M40" s="49"/>
      <c r="N40" s="11"/>
      <c r="O40" s="12"/>
      <c r="P40" s="16"/>
      <c r="Q40" s="16"/>
      <c r="R40" s="16"/>
      <c r="S40" s="16"/>
      <c r="T40" s="16"/>
    </row>
    <row r="41" spans="2:20" s="2" customFormat="1" ht="15" customHeight="1" x14ac:dyDescent="0.25">
      <c r="B41" s="2" t="s">
        <v>82</v>
      </c>
      <c r="C41" s="23" t="s">
        <v>14</v>
      </c>
      <c r="D41" s="2" t="s">
        <v>5</v>
      </c>
      <c r="E41" s="2" t="s">
        <v>50</v>
      </c>
      <c r="F41" s="70"/>
      <c r="G41" s="46"/>
      <c r="H41" s="46"/>
      <c r="I41" s="46"/>
      <c r="J41" s="46"/>
      <c r="K41" s="46"/>
      <c r="L41" s="46"/>
      <c r="M41" s="46"/>
      <c r="N41" s="11"/>
      <c r="O41" s="12"/>
      <c r="P41" s="14"/>
      <c r="Q41" s="14"/>
      <c r="R41" s="14"/>
      <c r="S41" s="14"/>
      <c r="T41" s="14"/>
    </row>
    <row r="42" spans="2:20" s="2" customFormat="1" ht="15" customHeight="1" x14ac:dyDescent="0.25">
      <c r="B42" s="2" t="s">
        <v>83</v>
      </c>
      <c r="C42" s="23" t="s">
        <v>16</v>
      </c>
      <c r="D42" s="2" t="s">
        <v>6</v>
      </c>
      <c r="E42" s="2" t="s">
        <v>50</v>
      </c>
      <c r="F42" s="70"/>
      <c r="G42" s="46"/>
      <c r="H42" s="46"/>
      <c r="I42" s="46"/>
      <c r="J42" s="46"/>
      <c r="K42" s="46"/>
      <c r="L42" s="46"/>
      <c r="M42" s="46"/>
      <c r="N42" s="11"/>
      <c r="O42" s="12"/>
      <c r="P42" s="14"/>
      <c r="Q42" s="14"/>
      <c r="R42" s="14"/>
      <c r="S42" s="14"/>
      <c r="T42" s="14"/>
    </row>
    <row r="43" spans="2:20" s="2" customFormat="1" ht="15" customHeight="1" x14ac:dyDescent="0.25">
      <c r="B43" s="2" t="s">
        <v>81</v>
      </c>
      <c r="C43" s="23" t="s">
        <v>13</v>
      </c>
      <c r="D43" s="2" t="s">
        <v>36</v>
      </c>
      <c r="E43" s="2" t="s">
        <v>17</v>
      </c>
      <c r="F43" s="53" t="e">
        <f>100*(F42)/F41</f>
        <v>#DIV/0!</v>
      </c>
      <c r="G43" s="46"/>
      <c r="H43" s="46"/>
      <c r="I43" s="46"/>
      <c r="J43" s="46"/>
      <c r="K43" s="46"/>
      <c r="L43" s="46"/>
      <c r="M43" s="46"/>
      <c r="N43" s="11"/>
      <c r="O43" s="12"/>
      <c r="P43" s="14"/>
      <c r="Q43" s="14"/>
      <c r="R43" s="14"/>
      <c r="S43" s="14"/>
      <c r="T43" s="14"/>
    </row>
    <row r="44" spans="2:20" s="2" customFormat="1" ht="15" customHeight="1" x14ac:dyDescent="0.25">
      <c r="C44" s="23"/>
      <c r="F44" s="46"/>
      <c r="G44" s="46"/>
      <c r="H44" s="46"/>
      <c r="I44" s="46"/>
      <c r="J44" s="46"/>
      <c r="K44" s="46"/>
      <c r="L44" s="46"/>
      <c r="M44" s="46"/>
      <c r="N44" s="11"/>
      <c r="O44" s="12"/>
      <c r="P44" s="14"/>
      <c r="Q44" s="14"/>
      <c r="R44" s="14"/>
      <c r="S44" s="14"/>
      <c r="T44" s="14"/>
    </row>
    <row r="45" spans="2:20" s="2" customFormat="1" ht="15" customHeight="1" x14ac:dyDescent="0.25">
      <c r="B45" s="25" t="s">
        <v>85</v>
      </c>
      <c r="C45" s="23" t="s">
        <v>38</v>
      </c>
      <c r="D45" s="2" t="s">
        <v>39</v>
      </c>
      <c r="F45" s="69">
        <v>0.06</v>
      </c>
      <c r="G45" s="46"/>
      <c r="H45" s="46"/>
      <c r="I45" s="46"/>
      <c r="J45" s="46"/>
      <c r="K45" s="46"/>
      <c r="L45" s="46"/>
      <c r="M45" s="46"/>
      <c r="N45" s="11"/>
      <c r="O45" s="12"/>
      <c r="P45" s="14"/>
      <c r="Q45" s="14"/>
      <c r="R45" s="14"/>
      <c r="S45" s="14"/>
      <c r="T45" s="14"/>
    </row>
    <row r="46" spans="2:20" s="2" customFormat="1" ht="15" customHeight="1" x14ac:dyDescent="0.25">
      <c r="B46" s="25"/>
      <c r="C46" s="23"/>
      <c r="F46" s="46"/>
      <c r="G46" s="46"/>
      <c r="H46" s="46"/>
      <c r="I46" s="46"/>
      <c r="J46" s="46"/>
      <c r="K46" s="46"/>
      <c r="L46" s="46"/>
      <c r="M46" s="46"/>
      <c r="N46" s="11"/>
      <c r="O46" s="12"/>
      <c r="P46" s="14"/>
      <c r="Q46" s="14"/>
      <c r="R46" s="14"/>
      <c r="S46" s="14"/>
      <c r="T46" s="14"/>
    </row>
    <row r="47" spans="2:20" s="2" customFormat="1" ht="17.25" x14ac:dyDescent="0.25">
      <c r="B47" s="24" t="s">
        <v>41</v>
      </c>
      <c r="C47" s="23"/>
      <c r="D47" s="2" t="s">
        <v>43</v>
      </c>
      <c r="E47" s="2" t="s">
        <v>40</v>
      </c>
      <c r="F47" s="56" t="e">
        <f>IF(ROUNDUP(100*F45*(F41^0.33)/(F43^0.2),0)&lt;10,10,ROUNDUP(100*F45*(F41^0.33)/(F43^0.2),0))</f>
        <v>#DIV/0!</v>
      </c>
      <c r="G47" s="46"/>
      <c r="H47" s="48"/>
      <c r="I47" s="48"/>
      <c r="J47" s="48"/>
      <c r="K47" s="48"/>
      <c r="L47" s="48"/>
      <c r="M47" s="48"/>
      <c r="N47" s="11"/>
      <c r="O47" s="12"/>
      <c r="P47" s="21"/>
      <c r="Q47" s="21"/>
      <c r="R47" s="21"/>
      <c r="S47" s="21"/>
      <c r="T47" s="21"/>
    </row>
    <row r="48" spans="2:20" x14ac:dyDescent="0.25">
      <c r="C48" s="23"/>
      <c r="E48" s="2"/>
      <c r="F48" s="44"/>
      <c r="G48" s="44"/>
      <c r="H48" s="45"/>
      <c r="I48" s="23"/>
      <c r="J48" s="23"/>
      <c r="K48" s="23"/>
      <c r="L48" s="23"/>
      <c r="M48" s="23"/>
      <c r="N48" s="2"/>
      <c r="O48" s="2"/>
    </row>
    <row r="49" spans="2:20" s="4" customFormat="1" ht="15" customHeight="1" x14ac:dyDescent="0.25">
      <c r="B49" s="25" t="s">
        <v>88</v>
      </c>
      <c r="C49" s="23" t="s">
        <v>2</v>
      </c>
      <c r="D49" s="4" t="s">
        <v>8</v>
      </c>
      <c r="E49" s="2" t="s">
        <v>87</v>
      </c>
      <c r="F49" s="55" t="e">
        <f>IF(AND(F47&gt;10,F47&lt;20),G19-((G19-H19)/(H10-G10)*(F47-(H10-G10))),IF(AND(F47&gt;20,F47&lt;30),H19-(H19-I19)/(I10-H10)*(F47-H10),IF(AND(F47&gt;30,F47&lt;60),I19-((I19-J19)/(J10-I10)*(F47-(J10-I10))),IF(AND(F47&gt;60,F47&lt;120),J19-((J19-K19)/(K10-J10)*(F47-(K10-J10))),IF(AND(F47&gt;120,F47&lt;360),K19-(K19-L19)/(L10-K10)*(F47-K10),IF(AND(F47&gt;360,F47&lt;720),L19-((L19-M19)/(M10-L10)*(F47-(M10-L10))),IF(AND(F47&gt;720,F47&lt;1440),M19-((M19-N19)/(N10-M10)*(F47-(N10-M10))),IF(F47=10,G19,IF(F47=20,H19,IF(F47=30,I19,IF(F47=60,J19,IF(F47=120,K19,IF(F47=360,L19,IF(F47=720,M19,IF(F47=1440,N19,"")))))))))))))))</f>
        <v>#DIV/0!</v>
      </c>
      <c r="G49" s="46"/>
      <c r="H49" s="49"/>
      <c r="I49" s="49"/>
      <c r="J49" s="49"/>
      <c r="K49" s="49"/>
      <c r="L49" s="49"/>
      <c r="M49" s="49"/>
      <c r="N49" s="11"/>
      <c r="O49" s="12"/>
      <c r="P49" s="16"/>
      <c r="Q49" s="16"/>
      <c r="R49" s="16"/>
      <c r="S49" s="16"/>
      <c r="T49" s="16"/>
    </row>
    <row r="50" spans="2:20" s="4" customFormat="1" ht="15" customHeight="1" x14ac:dyDescent="0.25">
      <c r="B50" s="58" t="s">
        <v>146</v>
      </c>
      <c r="C50" s="23" t="s">
        <v>17</v>
      </c>
      <c r="E50" s="2" t="s">
        <v>17</v>
      </c>
      <c r="F50" s="90">
        <v>100</v>
      </c>
      <c r="G50" s="49"/>
      <c r="H50" s="49"/>
      <c r="I50" s="49"/>
      <c r="J50" s="49"/>
      <c r="K50" s="49"/>
      <c r="L50" s="49"/>
      <c r="M50" s="49"/>
      <c r="N50" s="11"/>
      <c r="O50" s="12"/>
      <c r="P50" s="16"/>
      <c r="Q50" s="16"/>
      <c r="R50" s="16"/>
      <c r="S50" s="16"/>
      <c r="T50" s="16"/>
    </row>
    <row r="51" spans="2:20" s="4" customFormat="1" ht="15" customHeight="1" x14ac:dyDescent="0.25">
      <c r="B51" s="25" t="s">
        <v>133</v>
      </c>
      <c r="C51" s="23" t="s">
        <v>7</v>
      </c>
      <c r="D51" s="4" t="s">
        <v>33</v>
      </c>
      <c r="E51" s="62" t="s">
        <v>111</v>
      </c>
      <c r="F51" s="83" t="e">
        <f>((2.78*S38*F49*S37/10000)/1000)*F50/100</f>
        <v>#DIV/0!</v>
      </c>
      <c r="G51" s="89"/>
      <c r="H51" s="33"/>
      <c r="I51" s="33"/>
      <c r="J51" s="33"/>
      <c r="K51" s="33"/>
      <c r="L51" s="33"/>
      <c r="M51" s="33"/>
      <c r="N51" s="11"/>
      <c r="O51" s="12"/>
      <c r="P51" s="17"/>
      <c r="Q51" s="17"/>
      <c r="R51" s="17"/>
      <c r="S51" s="17"/>
      <c r="T51" s="17"/>
    </row>
    <row r="52" spans="2:20" s="4" customFormat="1" ht="15" customHeight="1" x14ac:dyDescent="0.25">
      <c r="C52" s="23"/>
      <c r="E52" s="2"/>
      <c r="F52" s="33"/>
      <c r="G52" s="33"/>
      <c r="H52" s="50"/>
      <c r="I52" s="50"/>
      <c r="J52" s="50"/>
      <c r="K52" s="50"/>
      <c r="L52" s="50"/>
      <c r="M52" s="50"/>
      <c r="N52" s="17"/>
      <c r="O52" s="17"/>
      <c r="P52" s="17"/>
      <c r="Q52" s="17"/>
      <c r="R52" s="17"/>
      <c r="S52" s="17"/>
      <c r="T52" s="17"/>
    </row>
    <row r="53" spans="2:20" s="4" customFormat="1" ht="15" customHeight="1" x14ac:dyDescent="0.25">
      <c r="B53" s="25" t="s">
        <v>138</v>
      </c>
      <c r="C53" s="23" t="s">
        <v>89</v>
      </c>
      <c r="D53" s="4" t="s">
        <v>90</v>
      </c>
      <c r="E53" s="2" t="s">
        <v>91</v>
      </c>
      <c r="F53" s="84" t="e">
        <f>MAX(F115:M120)</f>
        <v>#DIV/0!</v>
      </c>
      <c r="H53" s="50"/>
      <c r="I53" s="50"/>
      <c r="J53" s="50"/>
      <c r="K53" s="50"/>
      <c r="L53" s="50"/>
      <c r="M53" s="50"/>
      <c r="N53" s="17"/>
      <c r="O53" s="17"/>
      <c r="P53" s="17"/>
      <c r="Q53" s="17"/>
      <c r="R53" s="17"/>
      <c r="S53" s="17"/>
      <c r="T53" s="17"/>
    </row>
    <row r="54" spans="2:20" s="4" customFormat="1" ht="15" customHeight="1" x14ac:dyDescent="0.25">
      <c r="B54" s="25"/>
      <c r="C54" s="23"/>
      <c r="E54" s="2"/>
      <c r="F54" s="2"/>
      <c r="H54" s="50"/>
      <c r="I54" s="50"/>
      <c r="J54" s="50"/>
      <c r="K54" s="50"/>
      <c r="L54" s="50"/>
      <c r="M54" s="50"/>
      <c r="N54" s="17"/>
      <c r="O54" s="17"/>
      <c r="P54" s="17"/>
      <c r="Q54" s="17"/>
      <c r="R54" s="17"/>
      <c r="S54" s="17"/>
      <c r="T54" s="17"/>
    </row>
    <row r="55" spans="2:20" s="4" customFormat="1" ht="15" customHeight="1" x14ac:dyDescent="0.25">
      <c r="B55" s="25" t="s">
        <v>106</v>
      </c>
      <c r="C55" s="23"/>
      <c r="E55" s="2"/>
      <c r="F55" s="60" t="s">
        <v>107</v>
      </c>
      <c r="G55" s="51" t="s">
        <v>108</v>
      </c>
      <c r="H55" s="50"/>
      <c r="I55" s="50"/>
      <c r="J55" s="50"/>
      <c r="K55" s="50"/>
      <c r="L55" s="50"/>
      <c r="M55" s="50"/>
      <c r="N55" s="17"/>
      <c r="O55" s="17"/>
      <c r="P55" s="17"/>
      <c r="Q55" s="17"/>
      <c r="R55" s="17"/>
      <c r="S55" s="17"/>
      <c r="T55" s="17"/>
    </row>
    <row r="56" spans="2:20" s="4" customFormat="1" ht="15" customHeight="1" x14ac:dyDescent="0.25">
      <c r="B56" s="61" t="s">
        <v>151</v>
      </c>
      <c r="C56" s="23" t="s">
        <v>141</v>
      </c>
      <c r="E56" s="2" t="s">
        <v>50</v>
      </c>
      <c r="F56" s="85"/>
      <c r="G56" s="51"/>
      <c r="H56" s="37"/>
      <c r="I56" s="37"/>
      <c r="J56" s="37"/>
      <c r="K56" s="37"/>
      <c r="L56" s="37"/>
      <c r="M56" s="37"/>
      <c r="N56" s="17"/>
      <c r="O56" s="17"/>
      <c r="P56" s="17"/>
      <c r="Q56" s="17"/>
      <c r="R56" s="17"/>
      <c r="S56" s="17"/>
      <c r="T56" s="17"/>
    </row>
    <row r="57" spans="2:20" s="4" customFormat="1" ht="15" customHeight="1" x14ac:dyDescent="0.25">
      <c r="B57" s="61" t="s">
        <v>140</v>
      </c>
      <c r="C57" s="23" t="s">
        <v>142</v>
      </c>
      <c r="E57" s="2" t="s">
        <v>51</v>
      </c>
      <c r="F57" s="87">
        <v>100</v>
      </c>
      <c r="G57" s="51"/>
      <c r="H57" s="37"/>
      <c r="I57" s="37"/>
      <c r="J57" s="37"/>
      <c r="K57" s="37"/>
      <c r="L57" s="37"/>
      <c r="M57" s="37"/>
      <c r="N57" s="17"/>
      <c r="O57" s="17"/>
      <c r="P57" s="17"/>
      <c r="Q57" s="17"/>
      <c r="R57" s="17"/>
      <c r="S57" s="17"/>
      <c r="T57" s="17"/>
    </row>
    <row r="58" spans="2:20" s="4" customFormat="1" ht="15" customHeight="1" x14ac:dyDescent="0.25">
      <c r="B58" s="96" t="s">
        <v>135</v>
      </c>
      <c r="C58" s="23" t="s">
        <v>100</v>
      </c>
      <c r="E58" s="2" t="s">
        <v>50</v>
      </c>
      <c r="F58" s="85"/>
      <c r="G58" s="51"/>
      <c r="H58" s="37"/>
      <c r="I58" s="37"/>
      <c r="J58" s="37"/>
      <c r="K58" s="37"/>
      <c r="L58" s="37"/>
      <c r="M58" s="37"/>
      <c r="N58" s="17"/>
      <c r="O58" s="17"/>
      <c r="P58" s="17"/>
      <c r="Q58" s="17"/>
      <c r="R58" s="17"/>
      <c r="S58" s="17"/>
      <c r="T58" s="17"/>
    </row>
    <row r="59" spans="2:20" s="4" customFormat="1" ht="15" customHeight="1" x14ac:dyDescent="0.25">
      <c r="B59" s="61" t="s">
        <v>136</v>
      </c>
      <c r="C59" s="23"/>
      <c r="E59" s="2"/>
      <c r="F59" s="86" t="str">
        <f>IF(F58&lt;=(F56-(F57/2000)-(F61/2000)),"ok","not ok")</f>
        <v>not ok</v>
      </c>
      <c r="G59" s="51"/>
      <c r="H59" s="37"/>
      <c r="I59" s="37"/>
      <c r="J59" s="37"/>
      <c r="K59" s="37"/>
      <c r="L59" s="37"/>
      <c r="M59" s="37"/>
      <c r="N59" s="17"/>
      <c r="O59" s="17"/>
      <c r="P59" s="17"/>
      <c r="Q59" s="17"/>
      <c r="R59" s="17"/>
      <c r="S59" s="17"/>
      <c r="T59" s="17"/>
    </row>
    <row r="60" spans="2:20" s="4" customFormat="1" ht="15" customHeight="1" x14ac:dyDescent="0.25">
      <c r="B60" s="58" t="s">
        <v>95</v>
      </c>
      <c r="C60" s="23" t="s">
        <v>101</v>
      </c>
      <c r="E60" s="2"/>
      <c r="F60" s="69">
        <v>0.8</v>
      </c>
      <c r="G60" s="51"/>
      <c r="H60" s="37"/>
      <c r="I60" s="37"/>
      <c r="J60" s="37"/>
      <c r="K60" s="37"/>
      <c r="L60" s="37"/>
      <c r="M60" s="37"/>
      <c r="N60" s="17"/>
      <c r="O60" s="17"/>
      <c r="P60" s="17"/>
      <c r="Q60" s="17"/>
      <c r="R60" s="17"/>
      <c r="S60" s="17"/>
      <c r="T60" s="17"/>
    </row>
    <row r="61" spans="2:20" s="4" customFormat="1" ht="15" customHeight="1" x14ac:dyDescent="0.25">
      <c r="B61" s="96" t="s">
        <v>96</v>
      </c>
      <c r="C61" s="23" t="s">
        <v>102</v>
      </c>
      <c r="E61" s="2" t="s">
        <v>51</v>
      </c>
      <c r="F61" s="85"/>
      <c r="G61" s="55" t="e">
        <f>2*F103*1000</f>
        <v>#DIV/0!</v>
      </c>
      <c r="H61" s="37"/>
      <c r="I61" s="37"/>
      <c r="J61" s="37"/>
      <c r="K61" s="37"/>
      <c r="L61" s="37"/>
      <c r="M61" s="37"/>
      <c r="N61" s="17"/>
      <c r="O61" s="17"/>
      <c r="P61" s="17"/>
      <c r="Q61" s="17"/>
      <c r="R61" s="17"/>
      <c r="S61" s="17"/>
      <c r="T61" s="17"/>
    </row>
    <row r="62" spans="2:20" s="4" customFormat="1" ht="15" customHeight="1" x14ac:dyDescent="0.25">
      <c r="B62" s="58" t="s">
        <v>143</v>
      </c>
      <c r="C62" s="23" t="s">
        <v>103</v>
      </c>
      <c r="E62" s="2" t="s">
        <v>144</v>
      </c>
      <c r="F62" s="57">
        <f>F60*(PI()*((F61/1000)/2)^2)*SQRT(2*H103*F58)</f>
        <v>0</v>
      </c>
      <c r="G62" s="51"/>
      <c r="H62" s="37"/>
      <c r="I62" s="37"/>
      <c r="J62" s="37"/>
      <c r="K62" s="37"/>
      <c r="L62" s="117" t="s">
        <v>145</v>
      </c>
      <c r="M62" s="117"/>
      <c r="N62" s="117"/>
      <c r="O62" s="117"/>
      <c r="P62" s="117"/>
      <c r="Q62" s="117"/>
      <c r="R62" s="17"/>
      <c r="S62" s="17"/>
      <c r="T62" s="17"/>
    </row>
    <row r="63" spans="2:20" s="4" customFormat="1" ht="15" customHeight="1" x14ac:dyDescent="0.25">
      <c r="B63" s="61" t="s">
        <v>98</v>
      </c>
      <c r="C63" s="23"/>
      <c r="E63" s="2"/>
      <c r="F63" s="86" t="e">
        <f>IF(F62&lt;=F51,"ok","not ok")</f>
        <v>#DIV/0!</v>
      </c>
      <c r="G63" s="51"/>
      <c r="H63" s="91"/>
      <c r="L63" s="117"/>
      <c r="M63" s="117"/>
      <c r="N63" s="117"/>
      <c r="O63" s="117"/>
      <c r="P63" s="117"/>
      <c r="Q63" s="117"/>
      <c r="R63" s="17"/>
      <c r="S63" s="17"/>
      <c r="T63" s="17"/>
    </row>
    <row r="64" spans="2:20" s="4" customFormat="1" ht="15" customHeight="1" x14ac:dyDescent="0.25">
      <c r="L64" s="117"/>
      <c r="M64" s="117"/>
      <c r="N64" s="117"/>
      <c r="O64" s="117"/>
      <c r="P64" s="117"/>
      <c r="Q64" s="117"/>
      <c r="R64" s="17"/>
      <c r="S64" s="17"/>
      <c r="T64" s="17"/>
    </row>
    <row r="65" spans="2:20" s="4" customFormat="1" ht="15" customHeight="1" x14ac:dyDescent="0.25">
      <c r="B65" s="63" t="s">
        <v>92</v>
      </c>
      <c r="C65" s="23"/>
      <c r="E65" s="2"/>
      <c r="F65" s="60" t="s">
        <v>107</v>
      </c>
      <c r="L65" s="117"/>
      <c r="M65" s="117"/>
      <c r="N65" s="117"/>
      <c r="O65" s="117"/>
      <c r="P65" s="117"/>
      <c r="Q65" s="117"/>
      <c r="R65" s="17"/>
      <c r="S65" s="17"/>
      <c r="T65" s="17"/>
    </row>
    <row r="66" spans="2:20" s="4" customFormat="1" ht="15" customHeight="1" x14ac:dyDescent="0.25">
      <c r="B66" s="25" t="s">
        <v>139</v>
      </c>
      <c r="C66" s="23"/>
      <c r="D66" s="4" t="s">
        <v>137</v>
      </c>
      <c r="E66" s="2" t="s">
        <v>99</v>
      </c>
      <c r="F66" s="97" t="e">
        <f>MAX(F122:M127)</f>
        <v>#DIV/0!</v>
      </c>
      <c r="L66" s="117"/>
      <c r="M66" s="117"/>
      <c r="N66" s="117"/>
      <c r="O66" s="117"/>
      <c r="P66" s="117"/>
      <c r="Q66" s="117"/>
      <c r="R66" s="17"/>
      <c r="S66" s="17"/>
      <c r="T66" s="17"/>
    </row>
    <row r="67" spans="2:20" s="4" customFormat="1" ht="15" customHeight="1" x14ac:dyDescent="0.25">
      <c r="B67" s="61" t="s">
        <v>148</v>
      </c>
      <c r="C67" s="23"/>
      <c r="E67" s="2" t="s">
        <v>150</v>
      </c>
      <c r="F67" s="85"/>
      <c r="G67" s="55" t="e">
        <f>2*SQRT((F66/F58)/PI())</f>
        <v>#DIV/0!</v>
      </c>
      <c r="L67" s="117"/>
      <c r="M67" s="117"/>
      <c r="N67" s="117"/>
      <c r="O67" s="117"/>
      <c r="P67" s="117"/>
      <c r="Q67" s="117"/>
      <c r="R67" s="17"/>
      <c r="S67" s="17"/>
      <c r="T67" s="17"/>
    </row>
    <row r="68" spans="2:20" s="4" customFormat="1" ht="15" hidden="1" customHeight="1" x14ac:dyDescent="0.25">
      <c r="B68" s="4" t="s">
        <v>93</v>
      </c>
      <c r="C68" s="23"/>
      <c r="E68" s="2"/>
      <c r="F68" s="85">
        <v>1</v>
      </c>
      <c r="L68" s="117"/>
      <c r="M68" s="117"/>
      <c r="N68" s="117"/>
      <c r="O68" s="117"/>
      <c r="P68" s="117"/>
      <c r="Q68" s="117"/>
      <c r="R68" s="17"/>
      <c r="S68" s="17"/>
      <c r="T68" s="17"/>
    </row>
    <row r="69" spans="2:20" s="4" customFormat="1" ht="15" hidden="1" customHeight="1" x14ac:dyDescent="0.25">
      <c r="B69" s="4" t="s">
        <v>134</v>
      </c>
      <c r="C69" s="23"/>
      <c r="E69" s="2" t="s">
        <v>99</v>
      </c>
      <c r="F69" s="52">
        <f>F70</f>
        <v>0</v>
      </c>
      <c r="L69" s="117"/>
      <c r="M69" s="117"/>
      <c r="N69" s="117"/>
      <c r="O69" s="117"/>
      <c r="P69" s="117"/>
      <c r="Q69" s="117"/>
      <c r="R69" s="17"/>
      <c r="S69" s="17"/>
      <c r="T69" s="17"/>
    </row>
    <row r="70" spans="2:20" s="4" customFormat="1" ht="15" customHeight="1" x14ac:dyDescent="0.25">
      <c r="B70" s="61" t="s">
        <v>149</v>
      </c>
      <c r="C70" s="23"/>
      <c r="E70" s="2" t="s">
        <v>99</v>
      </c>
      <c r="F70" s="52">
        <f>K98*F68</f>
        <v>0</v>
      </c>
      <c r="I70" s="91"/>
      <c r="L70" s="117"/>
      <c r="M70" s="117"/>
      <c r="N70" s="117"/>
      <c r="O70" s="117"/>
      <c r="P70" s="117"/>
      <c r="Q70" s="117"/>
      <c r="R70" s="17"/>
      <c r="S70" s="17"/>
      <c r="T70" s="17"/>
    </row>
    <row r="71" spans="2:20" s="4" customFormat="1" ht="15" customHeight="1" x14ac:dyDescent="0.25">
      <c r="B71" s="58" t="s">
        <v>156</v>
      </c>
      <c r="C71" s="23"/>
      <c r="E71" s="2" t="s">
        <v>99</v>
      </c>
      <c r="F71" s="52">
        <f>I98*F68</f>
        <v>0</v>
      </c>
      <c r="G71" s="91"/>
      <c r="I71" s="91"/>
      <c r="L71" s="117"/>
      <c r="M71" s="117"/>
      <c r="N71" s="117"/>
      <c r="O71" s="117"/>
      <c r="P71" s="117"/>
      <c r="Q71" s="117"/>
      <c r="R71" s="17"/>
      <c r="S71" s="17"/>
      <c r="T71" s="17"/>
    </row>
    <row r="72" spans="2:20" s="4" customFormat="1" ht="15" customHeight="1" x14ac:dyDescent="0.25">
      <c r="B72" s="61" t="s">
        <v>157</v>
      </c>
      <c r="C72" s="23"/>
      <c r="E72" s="2" t="s">
        <v>99</v>
      </c>
      <c r="F72" s="95">
        <f>SUM(F70:F71)</f>
        <v>0</v>
      </c>
      <c r="G72" s="91"/>
      <c r="I72" s="91"/>
      <c r="L72" s="117"/>
      <c r="M72" s="117"/>
      <c r="N72" s="117"/>
      <c r="O72" s="117"/>
      <c r="P72" s="117"/>
      <c r="Q72" s="117"/>
      <c r="R72" s="17"/>
      <c r="S72" s="17"/>
      <c r="T72" s="17"/>
    </row>
    <row r="73" spans="2:20" s="4" customFormat="1" ht="15" customHeight="1" x14ac:dyDescent="0.25">
      <c r="B73" s="61" t="s">
        <v>97</v>
      </c>
      <c r="C73" s="23"/>
      <c r="E73" s="2"/>
      <c r="F73" s="86" t="e">
        <f>IF((F69*F68)&gt;=F66,"ok","not ok")</f>
        <v>#DIV/0!</v>
      </c>
      <c r="L73" s="117"/>
      <c r="M73" s="117"/>
      <c r="N73" s="117"/>
      <c r="O73" s="117"/>
      <c r="P73" s="117"/>
      <c r="Q73" s="117"/>
      <c r="R73" s="17"/>
      <c r="S73" s="17"/>
      <c r="T73" s="17"/>
    </row>
    <row r="74" spans="2:20" s="4" customFormat="1" ht="15" customHeight="1" x14ac:dyDescent="0.25">
      <c r="B74" s="59" t="s">
        <v>110</v>
      </c>
      <c r="C74" s="23"/>
      <c r="E74" s="2"/>
      <c r="F74" s="86" t="e">
        <f>IF(F70&gt;=F66,"ok","not ok")</f>
        <v>#DIV/0!</v>
      </c>
      <c r="L74" s="117"/>
      <c r="M74" s="117"/>
      <c r="N74" s="117"/>
      <c r="O74" s="117"/>
      <c r="P74" s="117"/>
      <c r="Q74" s="117"/>
      <c r="R74" s="17"/>
      <c r="S74" s="17"/>
      <c r="T74" s="17"/>
    </row>
    <row r="75" spans="2:20" x14ac:dyDescent="0.25">
      <c r="B75" s="118" t="s">
        <v>158</v>
      </c>
      <c r="C75" s="118"/>
      <c r="D75" s="118"/>
      <c r="E75" s="118"/>
      <c r="F75" s="118"/>
      <c r="G75" s="118"/>
      <c r="H75" s="118"/>
      <c r="I75" s="118"/>
      <c r="J75" s="118"/>
      <c r="K75" s="118"/>
      <c r="L75" s="118"/>
      <c r="M75" s="118"/>
      <c r="N75" s="118"/>
      <c r="O75" s="118"/>
      <c r="P75" s="118"/>
      <c r="Q75" s="118"/>
    </row>
    <row r="80" spans="2:20" s="4" customFormat="1" ht="48" customHeight="1" x14ac:dyDescent="0.25">
      <c r="L80" s="88"/>
      <c r="M80" s="88"/>
      <c r="N80" s="88"/>
      <c r="O80" s="88"/>
      <c r="P80" s="18"/>
      <c r="Q80" s="18"/>
      <c r="R80" s="18"/>
      <c r="S80" s="18"/>
      <c r="T80" s="18"/>
    </row>
    <row r="81" spans="2:20" s="4" customFormat="1" ht="15" hidden="1" customHeight="1" x14ac:dyDescent="0.25">
      <c r="H81" s="114" t="s">
        <v>104</v>
      </c>
      <c r="I81" s="114"/>
      <c r="J81" s="114"/>
      <c r="P81" s="18"/>
      <c r="Q81" s="18"/>
      <c r="R81" s="18"/>
      <c r="S81" s="18"/>
      <c r="T81" s="18"/>
    </row>
    <row r="82" spans="2:20" s="4" customFormat="1" ht="15" hidden="1" customHeight="1" x14ac:dyDescent="0.25">
      <c r="H82" s="114"/>
      <c r="I82" s="114"/>
      <c r="J82" s="114"/>
      <c r="P82" s="18"/>
      <c r="Q82" s="18"/>
      <c r="R82" s="18"/>
      <c r="S82" s="18"/>
      <c r="T82" s="18"/>
    </row>
    <row r="83" spans="2:20" s="4" customFormat="1" ht="15" hidden="1" customHeight="1" x14ac:dyDescent="0.25">
      <c r="H83" s="30" t="s">
        <v>94</v>
      </c>
      <c r="I83" s="29" t="s">
        <v>105</v>
      </c>
      <c r="J83" s="29" t="s">
        <v>153</v>
      </c>
      <c r="K83" s="4" t="s">
        <v>154</v>
      </c>
      <c r="L83" s="4" t="s">
        <v>155</v>
      </c>
      <c r="P83" s="18"/>
      <c r="Q83" s="18"/>
      <c r="R83" s="18"/>
      <c r="S83" s="18"/>
      <c r="T83" s="18"/>
    </row>
    <row r="84" spans="2:20" s="4" customFormat="1" ht="15" hidden="1" customHeight="1" x14ac:dyDescent="0.25">
      <c r="H84" s="32">
        <v>3.1</v>
      </c>
      <c r="I84" s="31">
        <v>30</v>
      </c>
      <c r="J84" s="31">
        <f t="shared" ref="J84:J91" si="0">L84</f>
        <v>3.5102240688545927</v>
      </c>
      <c r="K84" s="4">
        <f>I84/H84</f>
        <v>9.67741935483871</v>
      </c>
      <c r="L84" s="91">
        <f>2*SQRT(K84/PI())</f>
        <v>3.5102240688545927</v>
      </c>
      <c r="P84" s="18"/>
      <c r="Q84" s="18"/>
      <c r="R84" s="18"/>
      <c r="S84" s="18"/>
      <c r="T84" s="18"/>
    </row>
    <row r="85" spans="2:20" s="4" customFormat="1" ht="15" hidden="1" customHeight="1" x14ac:dyDescent="0.25">
      <c r="B85" s="58"/>
      <c r="E85" s="2"/>
      <c r="H85" s="32">
        <v>2.9</v>
      </c>
      <c r="I85" s="31">
        <v>25</v>
      </c>
      <c r="J85" s="31">
        <f t="shared" si="0"/>
        <v>3.313035310988226</v>
      </c>
      <c r="K85" s="4">
        <f t="shared" ref="K85:K92" si="1">I85/H85</f>
        <v>8.6206896551724146</v>
      </c>
      <c r="L85" s="91">
        <f t="shared" ref="L85:L92" si="2">2*SQRT(K85/PI())</f>
        <v>3.313035310988226</v>
      </c>
      <c r="P85" s="18"/>
      <c r="Q85" s="18"/>
      <c r="R85" s="18"/>
      <c r="S85" s="18"/>
      <c r="T85" s="18"/>
    </row>
    <row r="86" spans="2:20" s="4" customFormat="1" ht="15" hidden="1" customHeight="1" x14ac:dyDescent="0.25">
      <c r="B86" s="58"/>
      <c r="E86" s="2"/>
      <c r="H86" s="32">
        <v>2.8</v>
      </c>
      <c r="I86" s="31">
        <v>10</v>
      </c>
      <c r="J86" s="31">
        <f t="shared" si="0"/>
        <v>2.1324361862292309</v>
      </c>
      <c r="K86" s="4">
        <f>I86/H86</f>
        <v>3.5714285714285716</v>
      </c>
      <c r="L86" s="91">
        <f>2*SQRT(K86/PI())</f>
        <v>2.1324361862292309</v>
      </c>
      <c r="P86" s="18"/>
      <c r="Q86" s="18"/>
      <c r="R86" s="18"/>
      <c r="S86" s="18"/>
      <c r="T86" s="18"/>
    </row>
    <row r="87" spans="2:20" s="4" customFormat="1" ht="15" hidden="1" customHeight="1" x14ac:dyDescent="0.25">
      <c r="B87" s="58"/>
      <c r="E87" s="2"/>
      <c r="H87" s="32">
        <v>2.65</v>
      </c>
      <c r="I87" s="31">
        <v>5</v>
      </c>
      <c r="J87" s="31">
        <f t="shared" si="0"/>
        <v>1.5499479874019162</v>
      </c>
      <c r="K87" s="4">
        <f t="shared" si="1"/>
        <v>1.8867924528301887</v>
      </c>
      <c r="L87" s="91">
        <f t="shared" si="2"/>
        <v>1.5499479874019162</v>
      </c>
      <c r="P87" s="18"/>
      <c r="Q87" s="18"/>
      <c r="R87" s="18"/>
      <c r="S87" s="18"/>
      <c r="T87" s="18"/>
    </row>
    <row r="88" spans="2:20" s="4" customFormat="1" ht="15" hidden="1" customHeight="1" x14ac:dyDescent="0.25">
      <c r="B88" s="58"/>
      <c r="E88" s="2"/>
      <c r="H88" s="32">
        <v>2.2000000000000002</v>
      </c>
      <c r="I88" s="31">
        <v>4</v>
      </c>
      <c r="J88" s="31">
        <f t="shared" si="0"/>
        <v>1.5215061585243645</v>
      </c>
      <c r="K88" s="4">
        <f t="shared" si="1"/>
        <v>1.8181818181818181</v>
      </c>
      <c r="L88" s="91">
        <f t="shared" si="2"/>
        <v>1.5215061585243645</v>
      </c>
      <c r="P88" s="18"/>
      <c r="Q88" s="18"/>
      <c r="R88" s="18"/>
      <c r="S88" s="18"/>
      <c r="T88" s="18"/>
    </row>
    <row r="89" spans="2:20" s="4" customFormat="1" ht="15" hidden="1" customHeight="1" x14ac:dyDescent="0.25">
      <c r="B89" s="58"/>
      <c r="E89" s="2"/>
      <c r="H89" s="32">
        <v>1.76</v>
      </c>
      <c r="I89" s="31">
        <v>3</v>
      </c>
      <c r="J89" s="31">
        <f t="shared" si="0"/>
        <v>1.4731920032792214</v>
      </c>
      <c r="K89" s="4">
        <f t="shared" si="1"/>
        <v>1.7045454545454546</v>
      </c>
      <c r="L89" s="91">
        <f t="shared" si="2"/>
        <v>1.4731920032792214</v>
      </c>
      <c r="P89" s="18"/>
      <c r="Q89" s="18"/>
      <c r="R89" s="18"/>
      <c r="S89" s="18"/>
      <c r="T89" s="18"/>
    </row>
    <row r="90" spans="2:20" s="4" customFormat="1" ht="15" hidden="1" customHeight="1" x14ac:dyDescent="0.25">
      <c r="B90" s="58"/>
      <c r="E90" s="2"/>
      <c r="H90" s="32">
        <v>1.7350000000000001</v>
      </c>
      <c r="I90" s="31">
        <v>2</v>
      </c>
      <c r="J90" s="31">
        <f t="shared" si="0"/>
        <v>1.211491349849843</v>
      </c>
      <c r="K90" s="4">
        <f t="shared" si="1"/>
        <v>1.1527377521613833</v>
      </c>
      <c r="L90" s="91">
        <f t="shared" si="2"/>
        <v>1.211491349849843</v>
      </c>
      <c r="P90" s="18"/>
      <c r="Q90" s="18"/>
      <c r="R90" s="18"/>
      <c r="S90" s="18"/>
      <c r="T90" s="18"/>
    </row>
    <row r="91" spans="2:20" s="4" customFormat="1" ht="15" hidden="1" customHeight="1" x14ac:dyDescent="0.25">
      <c r="B91" s="58"/>
      <c r="E91" s="2"/>
      <c r="H91" s="32">
        <v>1.42</v>
      </c>
      <c r="I91" s="31">
        <v>1</v>
      </c>
      <c r="J91" s="31">
        <f t="shared" si="0"/>
        <v>0.94691476211689896</v>
      </c>
      <c r="K91" s="4">
        <f t="shared" si="1"/>
        <v>0.70422535211267612</v>
      </c>
      <c r="L91" s="91">
        <f t="shared" si="2"/>
        <v>0.94691476211689896</v>
      </c>
      <c r="P91" s="18"/>
      <c r="Q91" s="18"/>
      <c r="R91" s="18"/>
      <c r="S91" s="18"/>
      <c r="T91" s="18"/>
    </row>
    <row r="92" spans="2:20" s="4" customFormat="1" ht="15" hidden="1" customHeight="1" x14ac:dyDescent="0.25">
      <c r="B92" s="58"/>
      <c r="E92" s="2"/>
      <c r="H92" s="32">
        <v>0.82</v>
      </c>
      <c r="I92" s="31">
        <v>0.45</v>
      </c>
      <c r="J92" s="31">
        <f>L92</f>
        <v>0.83590012468728792</v>
      </c>
      <c r="K92" s="4">
        <f t="shared" si="1"/>
        <v>0.54878048780487809</v>
      </c>
      <c r="L92" s="91">
        <f t="shared" si="2"/>
        <v>0.83590012468728792</v>
      </c>
      <c r="P92" s="18"/>
      <c r="Q92" s="18"/>
      <c r="R92" s="18"/>
      <c r="S92" s="18"/>
      <c r="T92" s="18"/>
    </row>
    <row r="93" spans="2:20" s="4" customFormat="1" ht="15" hidden="1" customHeight="1" x14ac:dyDescent="0.25">
      <c r="P93" s="18"/>
      <c r="Q93" s="18"/>
      <c r="R93" s="18"/>
      <c r="S93" s="18"/>
      <c r="T93" s="18"/>
    </row>
    <row r="94" spans="2:20" s="4" customFormat="1" ht="15" hidden="1" customHeight="1" x14ac:dyDescent="0.25">
      <c r="P94" s="18"/>
      <c r="Q94" s="18"/>
      <c r="R94" s="18"/>
      <c r="S94" s="18"/>
      <c r="T94" s="18"/>
    </row>
    <row r="95" spans="2:20" hidden="1" x14ac:dyDescent="0.25">
      <c r="B95" s="59"/>
      <c r="C95" s="4"/>
      <c r="D95" s="4"/>
      <c r="I95" s="1"/>
      <c r="J95" s="4"/>
      <c r="K95" s="115" t="s">
        <v>46</v>
      </c>
      <c r="L95" s="115"/>
      <c r="M95" s="115"/>
      <c r="N95" s="115"/>
      <c r="O95" s="33" t="s">
        <v>68</v>
      </c>
      <c r="P95" s="33" t="s">
        <v>65</v>
      </c>
      <c r="Q95" s="33" t="s">
        <v>66</v>
      </c>
      <c r="R95" s="17" t="s">
        <v>62</v>
      </c>
      <c r="S95" s="17" t="s">
        <v>67</v>
      </c>
    </row>
    <row r="96" spans="2:20" hidden="1" x14ac:dyDescent="0.25">
      <c r="B96" s="59"/>
      <c r="C96" s="4"/>
      <c r="D96" s="4"/>
      <c r="F96" s="93" t="s">
        <v>152</v>
      </c>
      <c r="G96" s="35" t="s">
        <v>57</v>
      </c>
      <c r="H96" s="93" t="s">
        <v>152</v>
      </c>
      <c r="I96" s="35" t="s">
        <v>57</v>
      </c>
      <c r="J96" s="93" t="s">
        <v>152</v>
      </c>
      <c r="K96" s="35" t="s">
        <v>57</v>
      </c>
      <c r="L96" s="35" t="s">
        <v>48</v>
      </c>
      <c r="M96" s="35" t="s">
        <v>47</v>
      </c>
      <c r="N96" s="35" t="s">
        <v>56</v>
      </c>
      <c r="O96" s="34" t="s">
        <v>59</v>
      </c>
      <c r="P96" s="34">
        <v>1</v>
      </c>
      <c r="Q96" s="34">
        <v>0.62</v>
      </c>
      <c r="R96" s="34">
        <v>1</v>
      </c>
      <c r="S96" s="34">
        <v>0.52</v>
      </c>
    </row>
    <row r="97" spans="2:19" hidden="1" x14ac:dyDescent="0.25">
      <c r="B97" s="59"/>
      <c r="C97" s="4"/>
      <c r="D97" s="4"/>
      <c r="F97" s="35" t="s">
        <v>50</v>
      </c>
      <c r="G97" s="35" t="s">
        <v>58</v>
      </c>
      <c r="H97" s="35" t="s">
        <v>50</v>
      </c>
      <c r="I97" s="35" t="s">
        <v>58</v>
      </c>
      <c r="J97" s="35" t="s">
        <v>50</v>
      </c>
      <c r="K97" s="35" t="s">
        <v>58</v>
      </c>
      <c r="L97" s="35" t="s">
        <v>52</v>
      </c>
      <c r="M97" s="35" t="s">
        <v>50</v>
      </c>
      <c r="N97" s="35" t="s">
        <v>50</v>
      </c>
      <c r="O97" s="34" t="s">
        <v>60</v>
      </c>
      <c r="P97" s="34">
        <v>0.98</v>
      </c>
      <c r="Q97" s="34">
        <v>0.98</v>
      </c>
      <c r="R97" s="34">
        <v>0.8</v>
      </c>
      <c r="S97" s="34">
        <v>0.98</v>
      </c>
    </row>
    <row r="98" spans="2:19" hidden="1" x14ac:dyDescent="0.25">
      <c r="B98" s="59"/>
      <c r="C98" s="4"/>
      <c r="D98" s="4"/>
      <c r="F98" s="94">
        <f>F56</f>
        <v>0</v>
      </c>
      <c r="G98" s="38">
        <f>L98*F98</f>
        <v>0</v>
      </c>
      <c r="H98" s="94">
        <f>F56-F58</f>
        <v>0</v>
      </c>
      <c r="I98" s="38">
        <f>L98*H98</f>
        <v>0</v>
      </c>
      <c r="J98" s="94">
        <f>F58</f>
        <v>0</v>
      </c>
      <c r="K98" s="38">
        <f>L98*J98</f>
        <v>0</v>
      </c>
      <c r="L98" s="38">
        <f>PI()*N98^2</f>
        <v>0</v>
      </c>
      <c r="M98" s="38">
        <f>F67</f>
        <v>0</v>
      </c>
      <c r="N98" s="38">
        <f>M98/2</f>
        <v>0</v>
      </c>
      <c r="O98" s="34" t="s">
        <v>61</v>
      </c>
      <c r="P98" s="34">
        <f>P96*P97</f>
        <v>0.98</v>
      </c>
      <c r="Q98" s="34">
        <f>Q96*Q97</f>
        <v>0.60760000000000003</v>
      </c>
      <c r="R98" s="36">
        <f>R96*R97</f>
        <v>0.8</v>
      </c>
      <c r="S98" s="34">
        <f>S96*S97</f>
        <v>0.50960000000000005</v>
      </c>
    </row>
    <row r="99" spans="2:19" hidden="1" x14ac:dyDescent="0.25">
      <c r="B99" s="59"/>
      <c r="C99" s="4"/>
      <c r="D99" s="4"/>
      <c r="E99" s="4"/>
      <c r="J99" s="37"/>
      <c r="K99" s="37"/>
      <c r="L99" s="37"/>
      <c r="M99" s="37"/>
      <c r="N99" s="37"/>
    </row>
    <row r="100" spans="2:19" hidden="1" x14ac:dyDescent="0.25">
      <c r="B100" s="59"/>
      <c r="C100" s="4"/>
      <c r="D100" s="4"/>
      <c r="E100" s="4"/>
      <c r="F100" s="116" t="s">
        <v>49</v>
      </c>
      <c r="G100" s="116"/>
      <c r="H100" s="116"/>
      <c r="I100" s="116"/>
      <c r="J100" s="116"/>
      <c r="K100" s="116"/>
      <c r="L100" s="116"/>
      <c r="M100" s="37"/>
      <c r="N100" s="37"/>
    </row>
    <row r="101" spans="2:19" ht="17.25" hidden="1" x14ac:dyDescent="0.25">
      <c r="B101" s="59"/>
      <c r="C101" s="4"/>
      <c r="D101" s="4"/>
      <c r="E101" s="4"/>
      <c r="F101" s="39" t="s">
        <v>56</v>
      </c>
      <c r="G101" s="34" t="s">
        <v>69</v>
      </c>
      <c r="H101" s="40" t="s">
        <v>55</v>
      </c>
      <c r="I101" s="34" t="s">
        <v>70</v>
      </c>
      <c r="J101" s="34" t="s">
        <v>70</v>
      </c>
      <c r="K101" s="40" t="s">
        <v>71</v>
      </c>
      <c r="L101" s="40" t="s">
        <v>71</v>
      </c>
      <c r="M101" s="37"/>
      <c r="N101" s="37"/>
    </row>
    <row r="102" spans="2:19" ht="17.25" hidden="1" x14ac:dyDescent="0.25">
      <c r="B102" s="59"/>
      <c r="C102" s="4"/>
      <c r="D102" s="4"/>
      <c r="E102" s="4"/>
      <c r="F102" s="39" t="s">
        <v>50</v>
      </c>
      <c r="G102" s="34" t="s">
        <v>52</v>
      </c>
      <c r="H102" s="40" t="s">
        <v>53</v>
      </c>
      <c r="I102" s="34" t="s">
        <v>50</v>
      </c>
      <c r="J102" s="34" t="s">
        <v>51</v>
      </c>
      <c r="K102" s="40" t="s">
        <v>72</v>
      </c>
      <c r="L102" s="39" t="s">
        <v>54</v>
      </c>
      <c r="M102" s="37"/>
      <c r="N102" s="37"/>
    </row>
    <row r="103" spans="2:19" hidden="1" x14ac:dyDescent="0.25">
      <c r="B103" s="59"/>
      <c r="C103" s="4"/>
      <c r="D103" s="4"/>
      <c r="E103" s="4"/>
      <c r="F103" s="92" t="e">
        <f>SQRT(G103/PI())</f>
        <v>#DIV/0!</v>
      </c>
      <c r="G103" s="92" t="e">
        <f>K103/(F60*SQRT(2*H103*I103))</f>
        <v>#DIV/0!</v>
      </c>
      <c r="H103" s="34">
        <v>9.81</v>
      </c>
      <c r="I103" s="34">
        <f>F58</f>
        <v>0</v>
      </c>
      <c r="J103" s="41">
        <f>I103*1000</f>
        <v>0</v>
      </c>
      <c r="K103" s="42" t="e">
        <f>F51</f>
        <v>#DIV/0!</v>
      </c>
      <c r="L103" s="34" t="e">
        <f>K103*1000</f>
        <v>#DIV/0!</v>
      </c>
      <c r="M103" s="37"/>
      <c r="N103" s="18"/>
    </row>
    <row r="104" spans="2:19" hidden="1" x14ac:dyDescent="0.25">
      <c r="B104" s="58"/>
      <c r="G104" s="6"/>
      <c r="J104" s="6"/>
      <c r="K104" s="6"/>
      <c r="L104" s="6"/>
      <c r="M104" s="6"/>
      <c r="N104" s="6"/>
    </row>
    <row r="105" spans="2:19" hidden="1" x14ac:dyDescent="0.25">
      <c r="B105" s="58"/>
    </row>
    <row r="106" spans="2:19" hidden="1" x14ac:dyDescent="0.25">
      <c r="B106" s="59"/>
      <c r="C106" s="2"/>
      <c r="D106" s="2"/>
      <c r="E106" s="2"/>
      <c r="F106" s="110" t="s">
        <v>37</v>
      </c>
      <c r="G106" s="110"/>
      <c r="H106" s="110"/>
      <c r="I106" s="110"/>
      <c r="J106" s="110"/>
      <c r="K106" s="110"/>
      <c r="L106" s="110"/>
      <c r="M106" s="110"/>
    </row>
    <row r="107" spans="2:19" hidden="1" x14ac:dyDescent="0.25">
      <c r="B107" s="59"/>
      <c r="C107" s="4"/>
      <c r="D107" s="4"/>
      <c r="E107" s="4"/>
      <c r="F107" s="4"/>
      <c r="G107" s="4"/>
      <c r="H107" s="4"/>
      <c r="I107" s="4"/>
      <c r="J107" s="4"/>
      <c r="K107" s="4"/>
      <c r="L107" s="4"/>
      <c r="M107" s="4"/>
    </row>
    <row r="108" spans="2:19" hidden="1" x14ac:dyDescent="0.25">
      <c r="B108" s="119" t="s">
        <v>63</v>
      </c>
      <c r="C108" s="110" t="s">
        <v>42</v>
      </c>
      <c r="D108" s="2">
        <v>2</v>
      </c>
      <c r="E108" s="4"/>
      <c r="F108" s="8" t="e">
        <f t="shared" ref="F108:M108" si="3">(2.78*$F$38*G13*$F$37/10000)/1000</f>
        <v>#DIV/0!</v>
      </c>
      <c r="G108" s="8" t="e">
        <f t="shared" si="3"/>
        <v>#DIV/0!</v>
      </c>
      <c r="H108" s="8" t="e">
        <f t="shared" si="3"/>
        <v>#DIV/0!</v>
      </c>
      <c r="I108" s="8" t="e">
        <f t="shared" si="3"/>
        <v>#DIV/0!</v>
      </c>
      <c r="J108" s="8" t="e">
        <f t="shared" si="3"/>
        <v>#DIV/0!</v>
      </c>
      <c r="K108" s="8" t="e">
        <f t="shared" si="3"/>
        <v>#DIV/0!</v>
      </c>
      <c r="L108" s="8" t="e">
        <f t="shared" si="3"/>
        <v>#DIV/0!</v>
      </c>
      <c r="M108" s="8" t="e">
        <f t="shared" si="3"/>
        <v>#DIV/0!</v>
      </c>
    </row>
    <row r="109" spans="2:19" hidden="1" x14ac:dyDescent="0.25">
      <c r="B109" s="119"/>
      <c r="C109" s="110"/>
      <c r="D109" s="2">
        <v>10</v>
      </c>
      <c r="E109" s="4"/>
      <c r="F109" s="8" t="e">
        <f t="shared" ref="F109:M113" si="4">(2.78*$F$38*G15*$F$37/10000)/1000</f>
        <v>#DIV/0!</v>
      </c>
      <c r="G109" s="8" t="e">
        <f t="shared" si="4"/>
        <v>#DIV/0!</v>
      </c>
      <c r="H109" s="8" t="e">
        <f t="shared" si="4"/>
        <v>#DIV/0!</v>
      </c>
      <c r="I109" s="8" t="e">
        <f t="shared" si="4"/>
        <v>#DIV/0!</v>
      </c>
      <c r="J109" s="8" t="e">
        <f t="shared" si="4"/>
        <v>#DIV/0!</v>
      </c>
      <c r="K109" s="8" t="e">
        <f t="shared" si="4"/>
        <v>#DIV/0!</v>
      </c>
      <c r="L109" s="8" t="e">
        <f t="shared" si="4"/>
        <v>#DIV/0!</v>
      </c>
      <c r="M109" s="8" t="e">
        <f t="shared" si="4"/>
        <v>#DIV/0!</v>
      </c>
    </row>
    <row r="110" spans="2:19" hidden="1" x14ac:dyDescent="0.25">
      <c r="B110" s="119"/>
      <c r="C110" s="110"/>
      <c r="D110" s="2">
        <v>20</v>
      </c>
      <c r="E110" s="4"/>
      <c r="F110" s="8" t="e">
        <f t="shared" si="4"/>
        <v>#DIV/0!</v>
      </c>
      <c r="G110" s="8" t="e">
        <f t="shared" si="4"/>
        <v>#DIV/0!</v>
      </c>
      <c r="H110" s="8" t="e">
        <f t="shared" si="4"/>
        <v>#DIV/0!</v>
      </c>
      <c r="I110" s="8" t="e">
        <f t="shared" si="4"/>
        <v>#DIV/0!</v>
      </c>
      <c r="J110" s="8" t="e">
        <f t="shared" si="4"/>
        <v>#DIV/0!</v>
      </c>
      <c r="K110" s="8" t="e">
        <f t="shared" si="4"/>
        <v>#DIV/0!</v>
      </c>
      <c r="L110" s="8" t="e">
        <f t="shared" si="4"/>
        <v>#DIV/0!</v>
      </c>
      <c r="M110" s="8" t="e">
        <f t="shared" si="4"/>
        <v>#DIV/0!</v>
      </c>
    </row>
    <row r="111" spans="2:19" hidden="1" x14ac:dyDescent="0.25">
      <c r="B111" s="119"/>
      <c r="C111" s="110"/>
      <c r="D111" s="2">
        <v>30</v>
      </c>
      <c r="E111" s="4"/>
      <c r="F111" s="8" t="e">
        <f t="shared" si="4"/>
        <v>#DIV/0!</v>
      </c>
      <c r="G111" s="8" t="e">
        <f t="shared" si="4"/>
        <v>#DIV/0!</v>
      </c>
      <c r="H111" s="8" t="e">
        <f t="shared" si="4"/>
        <v>#DIV/0!</v>
      </c>
      <c r="I111" s="8" t="e">
        <f t="shared" si="4"/>
        <v>#DIV/0!</v>
      </c>
      <c r="J111" s="8" t="e">
        <f t="shared" si="4"/>
        <v>#DIV/0!</v>
      </c>
      <c r="K111" s="8" t="e">
        <f t="shared" si="4"/>
        <v>#DIV/0!</v>
      </c>
      <c r="L111" s="8" t="e">
        <f t="shared" si="4"/>
        <v>#DIV/0!</v>
      </c>
      <c r="M111" s="8" t="e">
        <f t="shared" si="4"/>
        <v>#DIV/0!</v>
      </c>
    </row>
    <row r="112" spans="2:19" hidden="1" x14ac:dyDescent="0.25">
      <c r="B112" s="119"/>
      <c r="C112" s="110"/>
      <c r="D112" s="2">
        <v>40</v>
      </c>
      <c r="E112" s="4"/>
      <c r="F112" s="8" t="e">
        <f t="shared" si="4"/>
        <v>#DIV/0!</v>
      </c>
      <c r="G112" s="8" t="e">
        <f t="shared" si="4"/>
        <v>#DIV/0!</v>
      </c>
      <c r="H112" s="8" t="e">
        <f t="shared" si="4"/>
        <v>#DIV/0!</v>
      </c>
      <c r="I112" s="8" t="e">
        <f t="shared" si="4"/>
        <v>#DIV/0!</v>
      </c>
      <c r="J112" s="8" t="e">
        <f t="shared" si="4"/>
        <v>#DIV/0!</v>
      </c>
      <c r="K112" s="8" t="e">
        <f t="shared" si="4"/>
        <v>#DIV/0!</v>
      </c>
      <c r="L112" s="8" t="e">
        <f t="shared" si="4"/>
        <v>#DIV/0!</v>
      </c>
      <c r="M112" s="8" t="e">
        <f t="shared" si="4"/>
        <v>#DIV/0!</v>
      </c>
    </row>
    <row r="113" spans="2:13" ht="15.75" hidden="1" thickBot="1" x14ac:dyDescent="0.3">
      <c r="B113" s="120"/>
      <c r="C113" s="111"/>
      <c r="D113" s="7">
        <v>50</v>
      </c>
      <c r="E113" s="5"/>
      <c r="F113" s="8" t="e">
        <f t="shared" si="4"/>
        <v>#DIV/0!</v>
      </c>
      <c r="G113" s="8" t="e">
        <f t="shared" si="4"/>
        <v>#DIV/0!</v>
      </c>
      <c r="H113" s="8" t="e">
        <f t="shared" si="4"/>
        <v>#DIV/0!</v>
      </c>
      <c r="I113" s="8" t="e">
        <f t="shared" si="4"/>
        <v>#DIV/0!</v>
      </c>
      <c r="J113" s="8" t="e">
        <f t="shared" si="4"/>
        <v>#DIV/0!</v>
      </c>
      <c r="K113" s="8" t="e">
        <f t="shared" si="4"/>
        <v>#DIV/0!</v>
      </c>
      <c r="L113" s="8" t="e">
        <f t="shared" si="4"/>
        <v>#DIV/0!</v>
      </c>
      <c r="M113" s="8" t="e">
        <f t="shared" si="4"/>
        <v>#DIV/0!</v>
      </c>
    </row>
    <row r="114" spans="2:13" hidden="1" x14ac:dyDescent="0.25">
      <c r="B114" s="59"/>
      <c r="C114" s="4"/>
      <c r="D114" s="4"/>
      <c r="E114" s="4"/>
      <c r="F114" s="4"/>
      <c r="G114" s="4"/>
      <c r="H114" s="4"/>
      <c r="I114" s="4"/>
      <c r="J114" s="4"/>
      <c r="K114" s="4"/>
      <c r="L114" s="4"/>
      <c r="M114" s="4"/>
    </row>
    <row r="115" spans="2:13" hidden="1" x14ac:dyDescent="0.25">
      <c r="B115" s="108" t="s">
        <v>109</v>
      </c>
      <c r="C115" s="110" t="s">
        <v>64</v>
      </c>
      <c r="D115" s="2">
        <v>2</v>
      </c>
      <c r="E115" s="4"/>
      <c r="F115" s="9" t="e">
        <f>(F108-$F$51)*G$10*60</f>
        <v>#DIV/0!</v>
      </c>
      <c r="G115" s="9" t="e">
        <f t="shared" ref="F115:M120" si="5">(G108-$F$51)*H$10*60</f>
        <v>#DIV/0!</v>
      </c>
      <c r="H115" s="9" t="e">
        <f t="shared" si="5"/>
        <v>#DIV/0!</v>
      </c>
      <c r="I115" s="9" t="e">
        <f t="shared" si="5"/>
        <v>#DIV/0!</v>
      </c>
      <c r="J115" s="9" t="e">
        <f t="shared" si="5"/>
        <v>#DIV/0!</v>
      </c>
      <c r="K115" s="9" t="e">
        <f t="shared" si="5"/>
        <v>#DIV/0!</v>
      </c>
      <c r="L115" s="9" t="e">
        <f t="shared" si="5"/>
        <v>#DIV/0!</v>
      </c>
      <c r="M115" s="9" t="e">
        <f t="shared" si="5"/>
        <v>#DIV/0!</v>
      </c>
    </row>
    <row r="116" spans="2:13" hidden="1" x14ac:dyDescent="0.25">
      <c r="B116" s="108"/>
      <c r="C116" s="110"/>
      <c r="D116" s="2">
        <v>10</v>
      </c>
      <c r="E116" s="4"/>
      <c r="F116" s="9" t="e">
        <f t="shared" si="5"/>
        <v>#DIV/0!</v>
      </c>
      <c r="G116" s="9" t="e">
        <f t="shared" si="5"/>
        <v>#DIV/0!</v>
      </c>
      <c r="H116" s="9" t="e">
        <f t="shared" si="5"/>
        <v>#DIV/0!</v>
      </c>
      <c r="I116" s="9" t="e">
        <f t="shared" si="5"/>
        <v>#DIV/0!</v>
      </c>
      <c r="J116" s="9" t="e">
        <f t="shared" si="5"/>
        <v>#DIV/0!</v>
      </c>
      <c r="K116" s="9" t="e">
        <f t="shared" si="5"/>
        <v>#DIV/0!</v>
      </c>
      <c r="L116" s="9" t="e">
        <f t="shared" si="5"/>
        <v>#DIV/0!</v>
      </c>
      <c r="M116" s="9" t="e">
        <f t="shared" si="5"/>
        <v>#DIV/0!</v>
      </c>
    </row>
    <row r="117" spans="2:13" hidden="1" x14ac:dyDescent="0.25">
      <c r="B117" s="108"/>
      <c r="C117" s="110"/>
      <c r="D117" s="2">
        <v>20</v>
      </c>
      <c r="E117" s="4"/>
      <c r="F117" s="9" t="e">
        <f t="shared" si="5"/>
        <v>#DIV/0!</v>
      </c>
      <c r="G117" s="9" t="e">
        <f t="shared" si="5"/>
        <v>#DIV/0!</v>
      </c>
      <c r="H117" s="9" t="e">
        <f t="shared" si="5"/>
        <v>#DIV/0!</v>
      </c>
      <c r="I117" s="9" t="e">
        <f t="shared" si="5"/>
        <v>#DIV/0!</v>
      </c>
      <c r="J117" s="9" t="e">
        <f t="shared" si="5"/>
        <v>#DIV/0!</v>
      </c>
      <c r="K117" s="9" t="e">
        <f t="shared" si="5"/>
        <v>#DIV/0!</v>
      </c>
      <c r="L117" s="9" t="e">
        <f t="shared" si="5"/>
        <v>#DIV/0!</v>
      </c>
      <c r="M117" s="9" t="e">
        <f t="shared" si="5"/>
        <v>#DIV/0!</v>
      </c>
    </row>
    <row r="118" spans="2:13" hidden="1" x14ac:dyDescent="0.25">
      <c r="B118" s="108"/>
      <c r="C118" s="110"/>
      <c r="D118" s="2">
        <v>30</v>
      </c>
      <c r="E118" s="4"/>
      <c r="F118" s="9" t="e">
        <f t="shared" si="5"/>
        <v>#DIV/0!</v>
      </c>
      <c r="G118" s="9" t="e">
        <f t="shared" si="5"/>
        <v>#DIV/0!</v>
      </c>
      <c r="H118" s="9" t="e">
        <f t="shared" si="5"/>
        <v>#DIV/0!</v>
      </c>
      <c r="I118" s="9" t="e">
        <f t="shared" si="5"/>
        <v>#DIV/0!</v>
      </c>
      <c r="J118" s="9" t="e">
        <f t="shared" si="5"/>
        <v>#DIV/0!</v>
      </c>
      <c r="K118" s="9" t="e">
        <f t="shared" si="5"/>
        <v>#DIV/0!</v>
      </c>
      <c r="L118" s="9" t="e">
        <f t="shared" si="5"/>
        <v>#DIV/0!</v>
      </c>
      <c r="M118" s="9" t="e">
        <f t="shared" si="5"/>
        <v>#DIV/0!</v>
      </c>
    </row>
    <row r="119" spans="2:13" hidden="1" x14ac:dyDescent="0.25">
      <c r="B119" s="108"/>
      <c r="C119" s="110"/>
      <c r="D119" s="2">
        <v>40</v>
      </c>
      <c r="E119" s="4"/>
      <c r="F119" s="9" t="e">
        <f t="shared" si="5"/>
        <v>#DIV/0!</v>
      </c>
      <c r="G119" s="9" t="e">
        <f t="shared" si="5"/>
        <v>#DIV/0!</v>
      </c>
      <c r="H119" s="9" t="e">
        <f t="shared" si="5"/>
        <v>#DIV/0!</v>
      </c>
      <c r="I119" s="9" t="e">
        <f t="shared" si="5"/>
        <v>#DIV/0!</v>
      </c>
      <c r="J119" s="9" t="e">
        <f t="shared" si="5"/>
        <v>#DIV/0!</v>
      </c>
      <c r="K119" s="9" t="e">
        <f t="shared" si="5"/>
        <v>#DIV/0!</v>
      </c>
      <c r="L119" s="9" t="e">
        <f t="shared" si="5"/>
        <v>#DIV/0!</v>
      </c>
      <c r="M119" s="9" t="e">
        <f t="shared" si="5"/>
        <v>#DIV/0!</v>
      </c>
    </row>
    <row r="120" spans="2:13" ht="15.75" hidden="1" thickBot="1" x14ac:dyDescent="0.3">
      <c r="B120" s="109"/>
      <c r="C120" s="111"/>
      <c r="D120" s="7">
        <v>50</v>
      </c>
      <c r="E120" s="5"/>
      <c r="F120" s="9" t="e">
        <f t="shared" si="5"/>
        <v>#DIV/0!</v>
      </c>
      <c r="G120" s="9" t="e">
        <f t="shared" si="5"/>
        <v>#DIV/0!</v>
      </c>
      <c r="H120" s="9" t="e">
        <f t="shared" si="5"/>
        <v>#DIV/0!</v>
      </c>
      <c r="I120" s="9" t="e">
        <f t="shared" si="5"/>
        <v>#DIV/0!</v>
      </c>
      <c r="J120" s="9" t="e">
        <f t="shared" si="5"/>
        <v>#DIV/0!</v>
      </c>
      <c r="K120" s="9" t="e">
        <f>(K113-$F$51)*L$10*60</f>
        <v>#DIV/0!</v>
      </c>
      <c r="L120" s="9" t="e">
        <f t="shared" si="5"/>
        <v>#DIV/0!</v>
      </c>
      <c r="M120" s="9" t="e">
        <f t="shared" si="5"/>
        <v>#DIV/0!</v>
      </c>
    </row>
    <row r="121" spans="2:13" hidden="1" x14ac:dyDescent="0.25"/>
    <row r="122" spans="2:13" hidden="1" x14ac:dyDescent="0.25">
      <c r="B122" s="108" t="s">
        <v>147</v>
      </c>
      <c r="C122" s="110" t="s">
        <v>64</v>
      </c>
      <c r="D122" s="2">
        <v>2</v>
      </c>
      <c r="E122" s="4"/>
      <c r="F122" s="9" t="e">
        <f>(F108-$F$62)*G$10*60</f>
        <v>#DIV/0!</v>
      </c>
      <c r="G122" s="9" t="e">
        <f t="shared" ref="F122:M127" si="6">(G108-$F$62)*H$10*60</f>
        <v>#DIV/0!</v>
      </c>
      <c r="H122" s="9" t="e">
        <f t="shared" si="6"/>
        <v>#DIV/0!</v>
      </c>
      <c r="I122" s="9" t="e">
        <f t="shared" si="6"/>
        <v>#DIV/0!</v>
      </c>
      <c r="J122" s="9" t="e">
        <f t="shared" si="6"/>
        <v>#DIV/0!</v>
      </c>
      <c r="K122" s="9" t="e">
        <f t="shared" si="6"/>
        <v>#DIV/0!</v>
      </c>
      <c r="L122" s="9" t="e">
        <f t="shared" si="6"/>
        <v>#DIV/0!</v>
      </c>
      <c r="M122" s="9" t="e">
        <f t="shared" si="6"/>
        <v>#DIV/0!</v>
      </c>
    </row>
    <row r="123" spans="2:13" hidden="1" x14ac:dyDescent="0.25">
      <c r="B123" s="108"/>
      <c r="C123" s="110"/>
      <c r="D123" s="2">
        <v>10</v>
      </c>
      <c r="E123" s="4"/>
      <c r="F123" s="9" t="e">
        <f>(F109-$F$62)*G$10*60</f>
        <v>#DIV/0!</v>
      </c>
      <c r="G123" s="9" t="e">
        <f t="shared" si="6"/>
        <v>#DIV/0!</v>
      </c>
      <c r="H123" s="9" t="e">
        <f t="shared" si="6"/>
        <v>#DIV/0!</v>
      </c>
      <c r="I123" s="9" t="e">
        <f t="shared" si="6"/>
        <v>#DIV/0!</v>
      </c>
      <c r="J123" s="9" t="e">
        <f t="shared" si="6"/>
        <v>#DIV/0!</v>
      </c>
      <c r="K123" s="9" t="e">
        <f t="shared" si="6"/>
        <v>#DIV/0!</v>
      </c>
      <c r="L123" s="9" t="e">
        <f t="shared" si="6"/>
        <v>#DIV/0!</v>
      </c>
      <c r="M123" s="9" t="e">
        <f t="shared" si="6"/>
        <v>#DIV/0!</v>
      </c>
    </row>
    <row r="124" spans="2:13" hidden="1" x14ac:dyDescent="0.25">
      <c r="B124" s="108"/>
      <c r="C124" s="110"/>
      <c r="D124" s="2">
        <v>20</v>
      </c>
      <c r="E124" s="4"/>
      <c r="F124" s="9" t="e">
        <f>(F110-$F$62)*G$10*60</f>
        <v>#DIV/0!</v>
      </c>
      <c r="G124" s="9" t="e">
        <f t="shared" si="6"/>
        <v>#DIV/0!</v>
      </c>
      <c r="H124" s="9" t="e">
        <f t="shared" si="6"/>
        <v>#DIV/0!</v>
      </c>
      <c r="I124" s="9" t="e">
        <f t="shared" si="6"/>
        <v>#DIV/0!</v>
      </c>
      <c r="J124" s="9" t="e">
        <f t="shared" si="6"/>
        <v>#DIV/0!</v>
      </c>
      <c r="K124" s="9" t="e">
        <f t="shared" si="6"/>
        <v>#DIV/0!</v>
      </c>
      <c r="L124" s="9" t="e">
        <f t="shared" si="6"/>
        <v>#DIV/0!</v>
      </c>
      <c r="M124" s="9" t="e">
        <f t="shared" si="6"/>
        <v>#DIV/0!</v>
      </c>
    </row>
    <row r="125" spans="2:13" hidden="1" x14ac:dyDescent="0.25">
      <c r="B125" s="108"/>
      <c r="C125" s="110"/>
      <c r="D125" s="2">
        <v>30</v>
      </c>
      <c r="E125" s="4"/>
      <c r="F125" s="9" t="e">
        <f>(F111-$F$62)*G$10*60</f>
        <v>#DIV/0!</v>
      </c>
      <c r="G125" s="9" t="e">
        <f t="shared" si="6"/>
        <v>#DIV/0!</v>
      </c>
      <c r="H125" s="9" t="e">
        <f t="shared" si="6"/>
        <v>#DIV/0!</v>
      </c>
      <c r="I125" s="9" t="e">
        <f t="shared" si="6"/>
        <v>#DIV/0!</v>
      </c>
      <c r="J125" s="9" t="e">
        <f t="shared" si="6"/>
        <v>#DIV/0!</v>
      </c>
      <c r="K125" s="9" t="e">
        <f t="shared" si="6"/>
        <v>#DIV/0!</v>
      </c>
      <c r="L125" s="9" t="e">
        <f t="shared" si="6"/>
        <v>#DIV/0!</v>
      </c>
      <c r="M125" s="9" t="e">
        <f t="shared" si="6"/>
        <v>#DIV/0!</v>
      </c>
    </row>
    <row r="126" spans="2:13" hidden="1" x14ac:dyDescent="0.25">
      <c r="B126" s="108"/>
      <c r="C126" s="110"/>
      <c r="D126" s="2">
        <v>40</v>
      </c>
      <c r="E126" s="4"/>
      <c r="F126" s="9" t="e">
        <f t="shared" si="6"/>
        <v>#DIV/0!</v>
      </c>
      <c r="G126" s="9" t="e">
        <f t="shared" si="6"/>
        <v>#DIV/0!</v>
      </c>
      <c r="H126" s="9" t="e">
        <f t="shared" si="6"/>
        <v>#DIV/0!</v>
      </c>
      <c r="I126" s="9" t="e">
        <f t="shared" si="6"/>
        <v>#DIV/0!</v>
      </c>
      <c r="J126" s="9" t="e">
        <f t="shared" si="6"/>
        <v>#DIV/0!</v>
      </c>
      <c r="K126" s="9" t="e">
        <f t="shared" si="6"/>
        <v>#DIV/0!</v>
      </c>
      <c r="L126" s="9" t="e">
        <f t="shared" si="6"/>
        <v>#DIV/0!</v>
      </c>
      <c r="M126" s="9" t="e">
        <f t="shared" si="6"/>
        <v>#DIV/0!</v>
      </c>
    </row>
    <row r="127" spans="2:13" ht="15.75" hidden="1" thickBot="1" x14ac:dyDescent="0.3">
      <c r="B127" s="109"/>
      <c r="C127" s="111"/>
      <c r="D127" s="7">
        <v>50</v>
      </c>
      <c r="E127" s="5"/>
      <c r="F127" s="9" t="e">
        <f t="shared" si="6"/>
        <v>#DIV/0!</v>
      </c>
      <c r="G127" s="9" t="e">
        <f t="shared" si="6"/>
        <v>#DIV/0!</v>
      </c>
      <c r="H127" s="9" t="e">
        <f t="shared" si="6"/>
        <v>#DIV/0!</v>
      </c>
      <c r="I127" s="9" t="e">
        <f t="shared" si="6"/>
        <v>#DIV/0!</v>
      </c>
      <c r="J127" s="9" t="e">
        <f t="shared" si="6"/>
        <v>#DIV/0!</v>
      </c>
      <c r="K127" s="9" t="e">
        <f t="shared" si="6"/>
        <v>#DIV/0!</v>
      </c>
      <c r="L127" s="9" t="e">
        <f t="shared" si="6"/>
        <v>#DIV/0!</v>
      </c>
      <c r="M127" s="9" t="e">
        <f t="shared" si="6"/>
        <v>#DIV/0!</v>
      </c>
    </row>
  </sheetData>
  <sheetProtection algorithmName="SHA-512" hashValue="qSb9DRDiT83BqjVe4/Wfkz7VOXrzcqozqLihE6O26Mr7WiwJqj5Gp//g6APLymwHbSfqqHqxC91R23t9bxc14g==" saltValue="YmilzhnvbQbg67yE5yKebg==" spinCount="100000" sheet="1" objects="1" scenarios="1"/>
  <mergeCells count="20">
    <mergeCell ref="B10:B23"/>
    <mergeCell ref="C10:E10"/>
    <mergeCell ref="K95:N95"/>
    <mergeCell ref="F4:K4"/>
    <mergeCell ref="F5:K5"/>
    <mergeCell ref="G7:Q7"/>
    <mergeCell ref="C9:Q9"/>
    <mergeCell ref="F26:F27"/>
    <mergeCell ref="S26:S27"/>
    <mergeCell ref="L62:Q74"/>
    <mergeCell ref="B75:Q75"/>
    <mergeCell ref="H81:J82"/>
    <mergeCell ref="B122:B127"/>
    <mergeCell ref="C122:C127"/>
    <mergeCell ref="F100:L100"/>
    <mergeCell ref="F106:M106"/>
    <mergeCell ref="B108:B113"/>
    <mergeCell ref="C108:C113"/>
    <mergeCell ref="B115:B120"/>
    <mergeCell ref="C115:C120"/>
  </mergeCells>
  <conditionalFormatting sqref="F115:M120">
    <cfRule type="cellIs" dxfId="10" priority="11" operator="equal">
      <formula>MAX($F$115:$M$120)</formula>
    </cfRule>
  </conditionalFormatting>
  <conditionalFormatting sqref="F122:M127">
    <cfRule type="cellIs" dxfId="9" priority="10" operator="equal">
      <formula>MAX($F$115:$M$120)</formula>
    </cfRule>
  </conditionalFormatting>
  <conditionalFormatting sqref="F58">
    <cfRule type="expression" dxfId="8" priority="7">
      <formula>$F$59="not ok"</formula>
    </cfRule>
  </conditionalFormatting>
  <conditionalFormatting sqref="F61">
    <cfRule type="expression" dxfId="7" priority="8">
      <formula>$F$63="not ok"</formula>
    </cfRule>
  </conditionalFormatting>
  <conditionalFormatting sqref="F59">
    <cfRule type="cellIs" dxfId="6" priority="5" operator="equal">
      <formula>"not ok"</formula>
    </cfRule>
  </conditionalFormatting>
  <conditionalFormatting sqref="F63">
    <cfRule type="cellIs" dxfId="5" priority="4" operator="equal">
      <formula>"not ok"</formula>
    </cfRule>
  </conditionalFormatting>
  <conditionalFormatting sqref="F68">
    <cfRule type="expression" dxfId="4" priority="9">
      <formula>$F$73="not ok"</formula>
    </cfRule>
  </conditionalFormatting>
  <conditionalFormatting sqref="F73">
    <cfRule type="cellIs" dxfId="3" priority="6" operator="equal">
      <formula>"not ok"</formula>
    </cfRule>
  </conditionalFormatting>
  <conditionalFormatting sqref="F67:F68">
    <cfRule type="expression" dxfId="2" priority="3">
      <formula>$F$73="not ok"</formula>
    </cfRule>
  </conditionalFormatting>
  <conditionalFormatting sqref="F74">
    <cfRule type="cellIs" dxfId="1" priority="2" operator="equal">
      <formula>"not ok"</formula>
    </cfRule>
  </conditionalFormatting>
  <conditionalFormatting sqref="F72">
    <cfRule type="cellIs" dxfId="0" priority="1" operator="equal">
      <formula>"not ok"</formula>
    </cfRule>
  </conditionalFormatting>
  <dataValidations count="5">
    <dataValidation allowBlank="1" showInputMessage="1" showErrorMessage="1" promptTitle="Input" prompt="Only input areas that are going to be developed/modified" sqref="F30 F28" xr:uid="{115EE170-9892-4E28-9E26-333A19E0F8A3}"/>
    <dataValidation allowBlank="1" showInputMessage="1" showErrorMessage="1" promptTitle="Design Check" prompt="Adjust tank capacity (row65) &amp; number (row66) so that its storage is higher or equal to the required storage (row67) " sqref="F69" xr:uid="{36094500-8429-404B-ADF3-A3660B6E7E05}"/>
    <dataValidation allowBlank="1" showInputMessage="1" showErrorMessage="1" promptTitle="Note" prompt="In case of more than one tank, all the primary outlet needs to be routed to one outlet that will have orifice installed in it." sqref="F68" xr:uid="{CBB1B7A4-CDC9-4CF5-B301-3B6D47F01B2F}"/>
    <dataValidation allowBlank="1" showInputMessage="1" showErrorMessage="1" promptTitle="Height Check" prompt="This height must not be heigher than tank height (row56). More height will need smaller orifice (row60). Adujst this height in combination with orifice diameter (row60) to get orifice flow (row61) less than or equal to green field flow (row51)." sqref="F58" xr:uid="{ECD8EC1E-7B99-4050-88C7-368B40433231}"/>
    <dataValidation allowBlank="1" showInputMessage="1" showErrorMessage="1" promptTitle="Dia check" prompt="This will depend on the availibility of smaller diameter pipe. But cannot be higher than suggested size on the right cell." sqref="F61" xr:uid="{26E68F50-6E85-490E-87EC-EABA59018949}"/>
  </dataValidations>
  <hyperlinks>
    <hyperlink ref="C7" r:id="rId1" xr:uid="{D30A6B87-52A8-41A9-BCE7-5F416A15AE60}"/>
  </hyperlinks>
  <pageMargins left="0.7" right="0.7" top="0.75" bottom="0.75" header="0.3" footer="0.3"/>
  <pageSetup paperSize="9" scale="48" orientation="landscape" r:id="rId2"/>
  <drawing r:id="rId3"/>
  <legacyDrawing r:id="rId4"/>
  <tableParts count="1">
    <tablePart r:id="rId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41303E-2997-4F73-B4C1-8FBD501FA4E2}">
  <dimension ref="A2:N26"/>
  <sheetViews>
    <sheetView workbookViewId="0">
      <selection activeCell="A20" sqref="A20"/>
    </sheetView>
  </sheetViews>
  <sheetFormatPr defaultRowHeight="15" x14ac:dyDescent="0.25"/>
  <cols>
    <col min="1" max="1" width="17.5703125" customWidth="1"/>
    <col min="2" max="7" width="10.42578125" bestFit="1" customWidth="1"/>
    <col min="8" max="14" width="10.28515625" bestFit="1" customWidth="1"/>
  </cols>
  <sheetData>
    <row r="2" spans="1:14" ht="15.75" x14ac:dyDescent="0.25">
      <c r="A2" s="102" t="s">
        <v>210</v>
      </c>
    </row>
    <row r="3" spans="1:14" x14ac:dyDescent="0.25">
      <c r="A3" s="103" t="s">
        <v>160</v>
      </c>
    </row>
    <row r="5" spans="1:14" x14ac:dyDescent="0.25">
      <c r="A5" s="2"/>
      <c r="B5" s="104" t="s">
        <v>161</v>
      </c>
      <c r="C5" s="104" t="s">
        <v>162</v>
      </c>
      <c r="D5" s="104" t="s">
        <v>163</v>
      </c>
      <c r="E5" s="104" t="s">
        <v>164</v>
      </c>
      <c r="F5" s="104" t="s">
        <v>165</v>
      </c>
      <c r="G5" s="104" t="s">
        <v>166</v>
      </c>
      <c r="H5" s="104" t="s">
        <v>167</v>
      </c>
      <c r="I5" s="104" t="s">
        <v>168</v>
      </c>
      <c r="J5" s="104" t="s">
        <v>169</v>
      </c>
      <c r="K5" s="104" t="s">
        <v>170</v>
      </c>
      <c r="L5" s="104" t="s">
        <v>171</v>
      </c>
      <c r="M5" s="104" t="s">
        <v>172</v>
      </c>
    </row>
    <row r="6" spans="1:14" x14ac:dyDescent="0.25">
      <c r="A6" s="104" t="s">
        <v>173</v>
      </c>
      <c r="B6" s="105" t="s">
        <v>174</v>
      </c>
      <c r="C6" s="105" t="s">
        <v>175</v>
      </c>
      <c r="D6" s="105" t="s">
        <v>176</v>
      </c>
      <c r="E6" s="105" t="s">
        <v>177</v>
      </c>
      <c r="F6" s="105" t="s">
        <v>178</v>
      </c>
      <c r="G6" s="105" t="s">
        <v>179</v>
      </c>
      <c r="H6" s="105" t="s">
        <v>180</v>
      </c>
      <c r="I6" s="105" t="s">
        <v>181</v>
      </c>
      <c r="J6" s="105" t="s">
        <v>182</v>
      </c>
      <c r="K6" s="105" t="s">
        <v>183</v>
      </c>
      <c r="L6" s="105" t="s">
        <v>184</v>
      </c>
      <c r="M6" s="105" t="s">
        <v>185</v>
      </c>
    </row>
    <row r="7" spans="1:14" x14ac:dyDescent="0.25">
      <c r="A7" s="104" t="s">
        <v>186</v>
      </c>
      <c r="B7" s="105" t="s">
        <v>187</v>
      </c>
      <c r="C7" s="105" t="s">
        <v>188</v>
      </c>
      <c r="D7" s="105" t="s">
        <v>189</v>
      </c>
      <c r="E7" s="105" t="s">
        <v>190</v>
      </c>
      <c r="F7" s="105" t="s">
        <v>189</v>
      </c>
      <c r="G7" s="105" t="s">
        <v>191</v>
      </c>
      <c r="H7" s="105" t="s">
        <v>191</v>
      </c>
      <c r="I7" s="105" t="s">
        <v>192</v>
      </c>
      <c r="J7" s="105" t="s">
        <v>192</v>
      </c>
      <c r="K7" s="105" t="s">
        <v>193</v>
      </c>
      <c r="L7" s="105" t="s">
        <v>194</v>
      </c>
      <c r="M7" s="105" t="s">
        <v>195</v>
      </c>
    </row>
    <row r="8" spans="1:14" x14ac:dyDescent="0.25">
      <c r="A8" s="104" t="s">
        <v>196</v>
      </c>
      <c r="B8" s="105" t="s">
        <v>197</v>
      </c>
      <c r="C8" s="105" t="s">
        <v>198</v>
      </c>
      <c r="D8" s="105" t="s">
        <v>199</v>
      </c>
      <c r="E8" s="105" t="s">
        <v>200</v>
      </c>
      <c r="F8" s="105" t="s">
        <v>201</v>
      </c>
      <c r="G8" s="105" t="s">
        <v>202</v>
      </c>
      <c r="H8" s="105" t="s">
        <v>203</v>
      </c>
      <c r="I8" s="105" t="s">
        <v>204</v>
      </c>
      <c r="J8" s="105" t="s">
        <v>205</v>
      </c>
      <c r="K8" s="105" t="s">
        <v>206</v>
      </c>
      <c r="L8" s="105" t="s">
        <v>205</v>
      </c>
      <c r="M8" s="105" t="s">
        <v>207</v>
      </c>
    </row>
    <row r="11" spans="1:14" ht="15.75" x14ac:dyDescent="0.25">
      <c r="A11" s="102" t="s">
        <v>209</v>
      </c>
    </row>
    <row r="12" spans="1:14" x14ac:dyDescent="0.25">
      <c r="A12" s="103" t="s">
        <v>208</v>
      </c>
    </row>
    <row r="14" spans="1:14" x14ac:dyDescent="0.25">
      <c r="B14" s="104" t="s">
        <v>223</v>
      </c>
      <c r="C14" s="104" t="s">
        <v>220</v>
      </c>
      <c r="D14" s="104" t="s">
        <v>222</v>
      </c>
      <c r="E14" s="104" t="s">
        <v>218</v>
      </c>
      <c r="F14" s="104" t="s">
        <v>217</v>
      </c>
      <c r="G14" s="104" t="s">
        <v>215</v>
      </c>
      <c r="H14" s="104" t="s">
        <v>211</v>
      </c>
      <c r="I14" s="104" t="s">
        <v>214</v>
      </c>
      <c r="J14" s="104" t="s">
        <v>225</v>
      </c>
      <c r="K14" s="104" t="s">
        <v>224</v>
      </c>
      <c r="L14" s="104" t="s">
        <v>221</v>
      </c>
      <c r="M14" s="104" t="s">
        <v>219</v>
      </c>
      <c r="N14" s="104" t="s">
        <v>216</v>
      </c>
    </row>
    <row r="15" spans="1:14" x14ac:dyDescent="0.25">
      <c r="A15" s="104" t="s">
        <v>173</v>
      </c>
      <c r="B15" s="105">
        <v>10000</v>
      </c>
      <c r="C15" s="105">
        <v>5000</v>
      </c>
      <c r="D15" s="105">
        <v>5000</v>
      </c>
      <c r="E15" s="105">
        <v>4000</v>
      </c>
      <c r="F15" s="105">
        <v>3000</v>
      </c>
      <c r="G15" s="105">
        <v>2000</v>
      </c>
      <c r="H15" s="105">
        <v>1000</v>
      </c>
      <c r="I15" s="105">
        <v>450</v>
      </c>
      <c r="J15" s="106">
        <v>15000</v>
      </c>
      <c r="K15" s="105">
        <v>10000</v>
      </c>
      <c r="L15" s="106">
        <v>5000</v>
      </c>
      <c r="M15" s="106">
        <v>3500</v>
      </c>
      <c r="N15" s="105">
        <v>2500</v>
      </c>
    </row>
    <row r="16" spans="1:14" x14ac:dyDescent="0.25">
      <c r="A16" s="104" t="s">
        <v>213</v>
      </c>
      <c r="B16" s="105">
        <v>2200</v>
      </c>
      <c r="C16" s="105">
        <v>2200</v>
      </c>
      <c r="D16" s="105">
        <v>1600</v>
      </c>
      <c r="E16" s="105">
        <v>1600</v>
      </c>
      <c r="F16" s="105">
        <v>1600</v>
      </c>
      <c r="G16" s="105">
        <v>1300</v>
      </c>
      <c r="H16" s="105">
        <v>1030</v>
      </c>
      <c r="I16" s="105">
        <v>880</v>
      </c>
      <c r="J16" s="106">
        <v>3000</v>
      </c>
      <c r="K16" s="105">
        <v>2200</v>
      </c>
      <c r="L16" s="106">
        <v>1850</v>
      </c>
      <c r="M16" s="106">
        <v>1850</v>
      </c>
      <c r="N16" s="105">
        <v>1850</v>
      </c>
    </row>
    <row r="17" spans="1:14" x14ac:dyDescent="0.25">
      <c r="A17" s="104" t="s">
        <v>212</v>
      </c>
      <c r="B17" s="105">
        <v>2200</v>
      </c>
      <c r="C17" s="105">
        <v>1750</v>
      </c>
      <c r="D17" s="105">
        <v>2690</v>
      </c>
      <c r="E17" s="105">
        <v>2200</v>
      </c>
      <c r="F17" s="105">
        <v>1760</v>
      </c>
      <c r="G17" s="105">
        <v>1735</v>
      </c>
      <c r="H17" s="105">
        <v>1240</v>
      </c>
      <c r="I17" s="105">
        <v>820</v>
      </c>
      <c r="J17" s="106">
        <v>3000</v>
      </c>
      <c r="K17" s="105">
        <v>2200</v>
      </c>
      <c r="L17" s="106">
        <v>2240</v>
      </c>
      <c r="M17" s="106">
        <v>1704</v>
      </c>
      <c r="N17" s="105">
        <v>1240</v>
      </c>
    </row>
    <row r="20" spans="1:14" ht="15.75" x14ac:dyDescent="0.25">
      <c r="A20" s="102" t="s">
        <v>226</v>
      </c>
    </row>
    <row r="21" spans="1:14" x14ac:dyDescent="0.25">
      <c r="A21" s="103" t="s">
        <v>227</v>
      </c>
    </row>
    <row r="23" spans="1:14" x14ac:dyDescent="0.25">
      <c r="B23" s="107" t="s">
        <v>228</v>
      </c>
      <c r="C23" s="107" t="s">
        <v>229</v>
      </c>
      <c r="D23" s="107" t="s">
        <v>230</v>
      </c>
      <c r="E23" s="107" t="s">
        <v>234</v>
      </c>
      <c r="F23" s="107" t="s">
        <v>235</v>
      </c>
      <c r="G23" s="107" t="s">
        <v>236</v>
      </c>
      <c r="H23" s="107" t="s">
        <v>231</v>
      </c>
      <c r="I23" s="107" t="s">
        <v>232</v>
      </c>
      <c r="J23" s="107" t="s">
        <v>233</v>
      </c>
      <c r="K23" s="107" t="s">
        <v>237</v>
      </c>
      <c r="L23" s="107" t="s">
        <v>238</v>
      </c>
    </row>
    <row r="24" spans="1:14" x14ac:dyDescent="0.25">
      <c r="A24" s="104" t="s">
        <v>173</v>
      </c>
      <c r="B24" s="105">
        <v>30000</v>
      </c>
      <c r="C24" s="105">
        <v>25000</v>
      </c>
      <c r="D24" s="105">
        <v>15000</v>
      </c>
      <c r="E24" s="105">
        <v>10000</v>
      </c>
      <c r="F24" s="105">
        <v>5000</v>
      </c>
      <c r="G24" s="105">
        <v>4000</v>
      </c>
      <c r="H24" s="105">
        <v>3500</v>
      </c>
      <c r="I24" s="105">
        <v>2000</v>
      </c>
      <c r="J24" s="105">
        <v>1000</v>
      </c>
      <c r="K24" s="105">
        <v>750</v>
      </c>
      <c r="L24" s="105">
        <v>600</v>
      </c>
    </row>
    <row r="25" spans="1:14" x14ac:dyDescent="0.25">
      <c r="A25" s="104" t="s">
        <v>153</v>
      </c>
      <c r="B25" s="105">
        <v>3.7</v>
      </c>
      <c r="C25" s="105">
        <v>3.5</v>
      </c>
      <c r="D25" s="105">
        <v>2.9</v>
      </c>
      <c r="E25" s="105">
        <v>2.6</v>
      </c>
      <c r="F25" s="105">
        <v>1.9</v>
      </c>
      <c r="G25" s="105">
        <v>1.7</v>
      </c>
      <c r="H25" s="105">
        <v>2</v>
      </c>
      <c r="I25" s="105">
        <v>1.4</v>
      </c>
      <c r="J25" s="105">
        <v>0.87</v>
      </c>
      <c r="K25" s="105">
        <v>0.9</v>
      </c>
      <c r="L25" s="105">
        <v>0.86</v>
      </c>
    </row>
    <row r="26" spans="1:14" x14ac:dyDescent="0.25">
      <c r="A26" s="104" t="s">
        <v>212</v>
      </c>
      <c r="B26" s="105">
        <v>2.7</v>
      </c>
      <c r="C26" s="105">
        <v>2.5</v>
      </c>
      <c r="D26" s="105">
        <v>2.2000000000000002</v>
      </c>
      <c r="E26" s="105">
        <v>2.2000000000000002</v>
      </c>
      <c r="F26" s="105">
        <v>1.8</v>
      </c>
      <c r="G26" s="105">
        <v>1.8</v>
      </c>
      <c r="H26" s="105">
        <v>1.1000000000000001</v>
      </c>
      <c r="I26" s="105">
        <v>1.6</v>
      </c>
      <c r="J26" s="105">
        <v>2</v>
      </c>
      <c r="K26" s="105">
        <v>1</v>
      </c>
      <c r="L26" s="105">
        <v>1.1000000000000001</v>
      </c>
    </row>
  </sheetData>
  <sheetProtection algorithmName="SHA-512" hashValue="aNw1K5dywiBQy4Fvda1koYFOd452BFpy3236gG7gppXrXVB7K9etkfieEdiqnYvJmoFEvrMwApyNZ7tmqQS3Rg==" saltValue="MN8QXy5+WE0jr1VEJwdKlg=="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Example</vt:lpstr>
      <vt:lpstr>Calculation</vt:lpstr>
      <vt:lpstr>Water Tanks Specifications </vt:lpstr>
      <vt:lpstr>Calculation!Print_Area</vt:lpstr>
      <vt:lpstr>Example!Print_Area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asif.reza@hurunui.govt.nz</dc:creator>
  <cp:lastModifiedBy>Cindy Asmat</cp:lastModifiedBy>
  <cp:lastPrinted>2021-10-20T03:35:34Z</cp:lastPrinted>
  <dcterms:created xsi:type="dcterms:W3CDTF">2014-05-13T02:17:35Z</dcterms:created>
  <dcterms:modified xsi:type="dcterms:W3CDTF">2022-08-25T00:02:13Z</dcterms:modified>
</cp:coreProperties>
</file>